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 Documents\Mounted Eagles\Financial\"/>
    </mc:Choice>
  </mc:AlternateContent>
  <xr:revisionPtr revIDLastSave="0" documentId="13_ncr:1_{BE3895E2-E1DB-4521-BBA7-D1C22926E0BB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1st Draft for Proposal" sheetId="4" r:id="rId1"/>
    <sheet name="1st Revision 01172021" sheetId="8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173" i="8" l="1"/>
  <c r="F170" i="8"/>
  <c r="A170" i="8"/>
  <c r="C167" i="8"/>
  <c r="F165" i="8"/>
  <c r="D165" i="8"/>
  <c r="A165" i="8"/>
  <c r="F164" i="8"/>
  <c r="A164" i="8"/>
  <c r="D164" i="8" s="1"/>
  <c r="F163" i="8"/>
  <c r="A163" i="8"/>
  <c r="D163" i="8" s="1"/>
  <c r="F162" i="8"/>
  <c r="A162" i="8"/>
  <c r="F161" i="8"/>
  <c r="A161" i="8"/>
  <c r="F160" i="8"/>
  <c r="A160" i="8"/>
  <c r="F159" i="8"/>
  <c r="A159" i="8"/>
  <c r="A167" i="8" s="1"/>
  <c r="A173" i="8" s="1"/>
  <c r="F158" i="8"/>
  <c r="F167" i="8" s="1"/>
  <c r="D158" i="8"/>
  <c r="A158" i="8"/>
  <c r="D167" i="8" l="1"/>
  <c r="D173" i="8" s="1"/>
  <c r="F173" i="8"/>
  <c r="F174" i="8" s="1"/>
  <c r="A41" i="8" l="1"/>
  <c r="A38" i="8"/>
  <c r="B146" i="8"/>
  <c r="B130" i="8"/>
  <c r="A131" i="8" s="1"/>
  <c r="A126" i="8"/>
  <c r="A117" i="8"/>
  <c r="A112" i="8"/>
  <c r="A102" i="8"/>
  <c r="A96" i="8"/>
  <c r="B83" i="8"/>
  <c r="B82" i="8"/>
  <c r="A79" i="8"/>
  <c r="B64" i="8"/>
  <c r="A71" i="8" s="1"/>
  <c r="A61" i="8"/>
  <c r="B54" i="8"/>
  <c r="B53" i="8"/>
  <c r="A34" i="8"/>
  <c r="A26" i="8"/>
  <c r="A27" i="8" s="1"/>
  <c r="A11" i="8"/>
  <c r="E81" i="4"/>
  <c r="C143" i="4"/>
  <c r="D151" i="4"/>
  <c r="D158" i="4"/>
  <c r="D167" i="4"/>
  <c r="D173" i="4"/>
  <c r="D184" i="4"/>
  <c r="E143" i="4"/>
  <c r="E137" i="4"/>
  <c r="E136" i="4"/>
  <c r="D133" i="4"/>
  <c r="E97" i="4"/>
  <c r="E95" i="4"/>
  <c r="E110" i="4"/>
  <c r="D118" i="4" s="1"/>
  <c r="D107" i="4"/>
  <c r="F54" i="4"/>
  <c r="F60" i="4"/>
  <c r="G63" i="4"/>
  <c r="D19" i="4"/>
  <c r="D40" i="4"/>
  <c r="D41" i="4" s="1"/>
  <c r="F58" i="4" s="1"/>
  <c r="B144" i="8" l="1"/>
  <c r="B145" i="8" s="1"/>
  <c r="B45" i="8" s="1"/>
  <c r="A89" i="8"/>
  <c r="B134" i="8"/>
  <c r="A56" i="8"/>
  <c r="A28" i="8"/>
  <c r="A45" i="8"/>
  <c r="A29" i="8"/>
  <c r="D144" i="4"/>
  <c r="D42" i="4"/>
  <c r="D43" i="4"/>
  <c r="D99" i="4"/>
  <c r="A191" i="4"/>
  <c r="C190" i="4"/>
  <c r="A185" i="4"/>
  <c r="C183" i="4"/>
  <c r="C182" i="4"/>
  <c r="C180" i="4"/>
  <c r="C179" i="4"/>
  <c r="C178" i="4"/>
  <c r="C177" i="4"/>
  <c r="A173" i="4"/>
  <c r="C172" i="4"/>
  <c r="C171" i="4"/>
  <c r="A168" i="4"/>
  <c r="C166" i="4"/>
  <c r="C165" i="4"/>
  <c r="C164" i="4"/>
  <c r="C163" i="4"/>
  <c r="A158" i="4"/>
  <c r="C157" i="4"/>
  <c r="C156" i="4"/>
  <c r="C155" i="4"/>
  <c r="A151" i="4"/>
  <c r="C149" i="4"/>
  <c r="C148" i="4"/>
  <c r="C147" i="4"/>
  <c r="B143" i="4"/>
  <c r="B142" i="4"/>
  <c r="C141" i="4"/>
  <c r="B141" i="4"/>
  <c r="C140" i="4"/>
  <c r="C139" i="4"/>
  <c r="C138" i="4"/>
  <c r="B138" i="4"/>
  <c r="C137" i="4"/>
  <c r="B137" i="4"/>
  <c r="C136" i="4"/>
  <c r="B136" i="4"/>
  <c r="A133" i="4"/>
  <c r="C130" i="4"/>
  <c r="C127" i="4"/>
  <c r="C124" i="4"/>
  <c r="C117" i="4"/>
  <c r="B117" i="4"/>
  <c r="C116" i="4"/>
  <c r="B116" i="4"/>
  <c r="C115" i="4"/>
  <c r="B115" i="4"/>
  <c r="C114" i="4"/>
  <c r="B114" i="4"/>
  <c r="C113" i="4"/>
  <c r="B113" i="4"/>
  <c r="C112" i="4"/>
  <c r="C111" i="4"/>
  <c r="B111" i="4"/>
  <c r="C110" i="4"/>
  <c r="B110" i="4"/>
  <c r="A107" i="4"/>
  <c r="C105" i="4"/>
  <c r="C104" i="4"/>
  <c r="C98" i="4"/>
  <c r="C97" i="4"/>
  <c r="C96" i="4"/>
  <c r="B96" i="4"/>
  <c r="A99" i="4" s="1"/>
  <c r="C95" i="4"/>
  <c r="C89" i="4"/>
  <c r="A77" i="4"/>
  <c r="C76" i="4"/>
  <c r="C73" i="4"/>
  <c r="A71" i="4"/>
  <c r="C70" i="4"/>
  <c r="B61" i="4"/>
  <c r="A60" i="4" s="1"/>
  <c r="A61" i="4"/>
  <c r="B53" i="4" s="1"/>
  <c r="C53" i="4"/>
  <c r="C49" i="4"/>
  <c r="C47" i="4"/>
  <c r="C46" i="4"/>
  <c r="C45" i="4"/>
  <c r="A40" i="4"/>
  <c r="A42" i="4" s="1"/>
  <c r="C37" i="4"/>
  <c r="C36" i="4"/>
  <c r="C35" i="4"/>
  <c r="C32" i="4"/>
  <c r="C31" i="4"/>
  <c r="C29" i="4"/>
  <c r="C28" i="4"/>
  <c r="C27" i="4"/>
  <c r="C26" i="4"/>
  <c r="C25" i="4"/>
  <c r="C24" i="4"/>
  <c r="C22" i="4"/>
  <c r="A18" i="4"/>
  <c r="C17" i="4"/>
  <c r="C14" i="4"/>
  <c r="C12" i="4"/>
  <c r="D1" i="4"/>
  <c r="E190" i="4"/>
  <c r="D191" i="4" s="1"/>
  <c r="D194" i="4" s="1"/>
  <c r="C194" i="4" l="1"/>
  <c r="A134" i="8"/>
  <c r="A138" i="8" s="1"/>
  <c r="A118" i="4"/>
  <c r="A43" i="4"/>
  <c r="A144" i="4"/>
  <c r="A63" i="4"/>
  <c r="B194" i="4"/>
  <c r="E194" i="4"/>
  <c r="A41" i="4"/>
  <c r="A59" i="4" s="1"/>
  <c r="A58" i="4" s="1"/>
  <c r="B52" i="4" s="1"/>
  <c r="C80" i="4"/>
  <c r="C197" i="4" l="1"/>
  <c r="A54" i="4"/>
  <c r="B81" i="4"/>
  <c r="D54" i="4" l="1"/>
  <c r="D81" i="4" s="1"/>
  <c r="D197" i="4" s="1"/>
  <c r="F59" i="4"/>
  <c r="F57" i="4" s="1"/>
  <c r="G60" i="4" s="1"/>
  <c r="B76" i="4" l="1"/>
</calcChain>
</file>

<file path=xl/sharedStrings.xml><?xml version="1.0" encoding="utf-8"?>
<sst xmlns="http://schemas.openxmlformats.org/spreadsheetml/2006/main" count="350" uniqueCount="203">
  <si>
    <t>Income:</t>
  </si>
  <si>
    <t>Donations:</t>
  </si>
  <si>
    <t>General Operating Expenses</t>
  </si>
  <si>
    <t>Horse Care</t>
  </si>
  <si>
    <t>Fundraisers:</t>
  </si>
  <si>
    <t>Amazon Smile</t>
  </si>
  <si>
    <t>Brat Sales</t>
  </si>
  <si>
    <t>Cans</t>
  </si>
  <si>
    <t>GoodSearch</t>
  </si>
  <si>
    <t>Ice Fishing Extravaganza</t>
  </si>
  <si>
    <t>Pizza Sales</t>
  </si>
  <si>
    <t>SO Show Concessions</t>
  </si>
  <si>
    <t>Turtle races</t>
  </si>
  <si>
    <t>Proposed Grant Income</t>
  </si>
  <si>
    <t>General Expenses</t>
  </si>
  <si>
    <t>Horse Purchase</t>
  </si>
  <si>
    <t>Training Aids &amp; Equipment</t>
  </si>
  <si>
    <t>Rider Self-Pay Subsidy Funds</t>
  </si>
  <si>
    <t>Ridership Funds</t>
  </si>
  <si>
    <t>Subsidy Funds &amp; Ridership Funds</t>
  </si>
  <si>
    <t>from grants</t>
  </si>
  <si>
    <t>Misc Income</t>
  </si>
  <si>
    <t>from fundraising</t>
  </si>
  <si>
    <t>total subsidy needed</t>
  </si>
  <si>
    <t>Membership Fees</t>
  </si>
  <si>
    <t>self-paysubsidy</t>
  </si>
  <si>
    <t>for all riders CPL=all income for riders</t>
  </si>
  <si>
    <t>Rider Self-Pay Fees</t>
  </si>
  <si>
    <t>Expenses:</t>
  </si>
  <si>
    <t xml:space="preserve">Salaries &amp; Related Expenses  </t>
  </si>
  <si>
    <t>Executive Director Wages</t>
  </si>
  <si>
    <t>Equine Coordinator (Fitness &amp; Trng)</t>
  </si>
  <si>
    <t xml:space="preserve"> Instructor Salary</t>
  </si>
  <si>
    <t>Payroll Taxes</t>
  </si>
  <si>
    <t>Education</t>
  </si>
  <si>
    <t>Region 6 Conference</t>
  </si>
  <si>
    <t>Misc Educational Expenses</t>
  </si>
  <si>
    <t>Volunteer Training Sessions</t>
  </si>
  <si>
    <t>Instructor Certification</t>
  </si>
  <si>
    <t>Facility Expenses</t>
  </si>
  <si>
    <t xml:space="preserve"> Arena </t>
  </si>
  <si>
    <t>In-Kind Board Cost Donation</t>
  </si>
  <si>
    <t>Office &amp; tack Space</t>
  </si>
  <si>
    <t>FundRaising Events</t>
  </si>
  <si>
    <t>Supplies</t>
  </si>
  <si>
    <t>Insurance</t>
  </si>
  <si>
    <t>Directors &amp; Officers</t>
  </si>
  <si>
    <t>Liability</t>
  </si>
  <si>
    <t>Worker's Comp</t>
  </si>
  <si>
    <t>PATH</t>
  </si>
  <si>
    <t>Other Organizations</t>
  </si>
  <si>
    <t>Office Supplies</t>
  </si>
  <si>
    <t>Equipment</t>
  </si>
  <si>
    <t>Misc Office Supplies</t>
  </si>
  <si>
    <t>Postage</t>
  </si>
  <si>
    <t>Printer Supplies</t>
  </si>
  <si>
    <t>Telephone</t>
  </si>
  <si>
    <t>Professional Services</t>
  </si>
  <si>
    <t>Accounting Fees</t>
  </si>
  <si>
    <t>Program Expenses</t>
  </si>
  <si>
    <t>Annual Mbrship Meeting</t>
  </si>
  <si>
    <t>Participant Horse Show</t>
  </si>
  <si>
    <t>Rider Banquet &amp; Awards</t>
  </si>
  <si>
    <t>Training Aids/Equipment</t>
  </si>
  <si>
    <t>Volunteer Banquet &amp; Awards</t>
  </si>
  <si>
    <t>Misc Program Expenses</t>
  </si>
  <si>
    <t>Saddles &amp; Tack</t>
  </si>
  <si>
    <t>Public Relations</t>
  </si>
  <si>
    <t>Advertising/Promotion</t>
  </si>
  <si>
    <t>Promotion</t>
  </si>
  <si>
    <t>Newsletter Postage</t>
  </si>
  <si>
    <t>Total Expenses Projected</t>
  </si>
  <si>
    <t>CPL = $69.17</t>
  </si>
  <si>
    <t>Total Actual Income 2020</t>
  </si>
  <si>
    <t>Total Income Projected for 2020</t>
  </si>
  <si>
    <t>Factored in 10% growth for each category</t>
  </si>
  <si>
    <t>avg of 1141 lessons for 2020 season for 38.5 riders</t>
  </si>
  <si>
    <t>.</t>
  </si>
  <si>
    <t>Pampered Chef Sales</t>
  </si>
  <si>
    <t>Raffle</t>
  </si>
  <si>
    <t>Horse Boarding Lacey</t>
  </si>
  <si>
    <t>Horse Boarding Lilly</t>
  </si>
  <si>
    <t>Equicizer Stall</t>
  </si>
  <si>
    <t>Horse Boarding Kyd</t>
  </si>
  <si>
    <t>Supplement Feeding &amp; Medication Administration by SHC Staff</t>
  </si>
  <si>
    <t>Nutritional Supplements</t>
  </si>
  <si>
    <t>Training &amp; Fitness Program</t>
  </si>
  <si>
    <t>Cash for Change</t>
  </si>
  <si>
    <t>Atty Gen Filing Fees</t>
  </si>
  <si>
    <t>Over Under Budget</t>
  </si>
  <si>
    <t xml:space="preserve">FINAL Budget Approval  </t>
  </si>
  <si>
    <t xml:space="preserve">2020 Budget </t>
  </si>
  <si>
    <t>proposed Budget 2020</t>
  </si>
  <si>
    <t>Presented to BOD 01/11/2020</t>
  </si>
  <si>
    <t>Proposed for CY 2020</t>
  </si>
  <si>
    <t>Facility Expenses/Horse Board</t>
  </si>
  <si>
    <t>Pizza Ranch Tip Night - March</t>
  </si>
  <si>
    <t>Pizza Ranch Tip Night - July</t>
  </si>
  <si>
    <t>$60 per month</t>
  </si>
  <si>
    <t>Membership Dues Paid</t>
  </si>
  <si>
    <t>Total Actual Expenses 2020</t>
  </si>
  <si>
    <t>Proposed Income vs Expenses for 2020</t>
  </si>
  <si>
    <t>This amount is based on the beginning # of riders for 2020 (35) plus a 10% growth factor</t>
  </si>
  <si>
    <t>Pizza Ranch Tip Night  March</t>
  </si>
  <si>
    <t>Pizza Ranch Tip Night  July</t>
  </si>
  <si>
    <t xml:space="preserve">ridership  funds </t>
  </si>
  <si>
    <t>Surplus</t>
  </si>
  <si>
    <t>Volunteer SHC Training Sessions</t>
  </si>
  <si>
    <t>Farrier</t>
  </si>
  <si>
    <t>Chiropractor - Dr Stacey</t>
  </si>
  <si>
    <t>Vet Visits</t>
  </si>
  <si>
    <t>Nutritional Supplements NO F&amp;E</t>
  </si>
  <si>
    <t>Gift Catalog</t>
  </si>
  <si>
    <t>will go to subsidy  74%</t>
  </si>
  <si>
    <t>will go to opeating expenses 26%</t>
  </si>
  <si>
    <t>74/26</t>
  </si>
  <si>
    <t>Ridership Funds plus Self-Pay Subsidy =  $61,439.88</t>
  </si>
  <si>
    <t>Pie &amp; Project</t>
  </si>
  <si>
    <t xml:space="preserve">*Horse Boarding April  </t>
  </si>
  <si>
    <t>5K/Derby Party</t>
  </si>
  <si>
    <t xml:space="preserve">Personal Property </t>
  </si>
  <si>
    <t>Deficit</t>
  </si>
  <si>
    <t>1st Revision sent to BOD via email 01/12/2020</t>
  </si>
  <si>
    <t>2nd Revision mtg with BOD 01/14/2020</t>
  </si>
  <si>
    <t>An Evening For ME</t>
  </si>
  <si>
    <t>New Program Development</t>
  </si>
  <si>
    <t>Budget Approved 01/14/2020</t>
  </si>
  <si>
    <t xml:space="preserve">ACTUAL </t>
  </si>
  <si>
    <t>Raffle Prize</t>
  </si>
  <si>
    <t>GiveAtHomeMN</t>
  </si>
  <si>
    <t>GiveToTheMax</t>
  </si>
  <si>
    <t>Horse Show Concessions</t>
  </si>
  <si>
    <t>CWC Cares</t>
  </si>
  <si>
    <t>Arena Time</t>
  </si>
  <si>
    <t>Horse Board</t>
  </si>
  <si>
    <t>PPP Loan From Fed Government</t>
  </si>
  <si>
    <t>PPP Loan Expenses</t>
  </si>
  <si>
    <t>put all supplements in one total</t>
  </si>
  <si>
    <t>Re-Accreditation Fees</t>
  </si>
  <si>
    <t>Proposed Budget for 2021</t>
  </si>
  <si>
    <t>Presented to BOD 01/16/2021</t>
  </si>
  <si>
    <t>3 horses</t>
  </si>
  <si>
    <t>March 30th, 2019</t>
  </si>
  <si>
    <t>Uway, CWPower</t>
  </si>
  <si>
    <t>This amount is based on the beginning # of riders for 2020 (29) plus 4 new riders on $10 self pay</t>
  </si>
  <si>
    <t>Remove?</t>
  </si>
  <si>
    <t>Don’t' know if this will be an annual thing or not</t>
  </si>
  <si>
    <t xml:space="preserve">Hasn't been profitable last two xs we've tried </t>
  </si>
  <si>
    <t xml:space="preserve">heard they are to resume - </t>
  </si>
  <si>
    <t>CPL = $70.25</t>
  </si>
  <si>
    <t>Ridership Funds plus Self-Pay Subsidy =  $50369.00</t>
  </si>
  <si>
    <t>29riders for 38 wks 4 riders for 30 wks</t>
  </si>
  <si>
    <t>1025 lessons for 2021 season for 33 riders</t>
  </si>
  <si>
    <t>Self-Pay income = $21,640.00</t>
  </si>
  <si>
    <t>already have $4875</t>
  </si>
  <si>
    <t>remove</t>
  </si>
  <si>
    <t>12 months # $1250 per month</t>
  </si>
  <si>
    <t>13.5 hrs per week for 38 wks @$12 per hr</t>
  </si>
  <si>
    <t>13.5 hrs per week for 38 weeks #$18 per hr</t>
  </si>
  <si>
    <t>$80 per month for 12 months</t>
  </si>
  <si>
    <t>remove???</t>
  </si>
  <si>
    <t>60 per month</t>
  </si>
  <si>
    <t>8 trim sessions per horse</t>
  </si>
  <si>
    <t>2 horses every other month</t>
  </si>
  <si>
    <t>$100 per month</t>
  </si>
  <si>
    <t>1 x per week for 3 horses for 52 weeks</t>
  </si>
  <si>
    <t>did we ever set this up?</t>
  </si>
  <si>
    <t>looking for a new accountant</t>
  </si>
  <si>
    <t>$59 per quarter</t>
  </si>
  <si>
    <t xml:space="preserve">3 horses </t>
  </si>
  <si>
    <t>1st Revision Presented via e-mail 01/17/2021</t>
  </si>
  <si>
    <t>74/26 split</t>
  </si>
  <si>
    <t>2 xs per week for 3 horses for 52 weeks</t>
  </si>
  <si>
    <t>Total Income Projected for 2021</t>
  </si>
  <si>
    <t>Proposed Income vs Expenses for 2021</t>
  </si>
  <si>
    <t>still need $12,278 from grants</t>
  </si>
  <si>
    <t>2021 Subsidy Funds</t>
  </si>
  <si>
    <t>TOTAL SUBSIDY NEEDED</t>
  </si>
  <si>
    <t>CPL = $70.25 for all riders CPL=all income for riders</t>
  </si>
  <si>
    <r>
      <t xml:space="preserve">TOTAL OF Ridership Funds plus Self-Pay Subsidy NEEDED =  </t>
    </r>
    <r>
      <rPr>
        <b/>
        <i/>
        <u/>
        <sz val="16"/>
        <color theme="1"/>
        <rFont val="Calibri"/>
        <family val="2"/>
        <scheme val="minor"/>
      </rPr>
      <t>$50367.00</t>
    </r>
  </si>
  <si>
    <t>13.5 hrs per week for 38 weeks $18  hr</t>
  </si>
  <si>
    <t>13.5 hrs per week for 38 wks @$12 hr</t>
  </si>
  <si>
    <t>12 months @ $1250 per month</t>
  </si>
  <si>
    <t>Calculations</t>
  </si>
  <si>
    <t>From Grants</t>
  </si>
  <si>
    <t>self-paysubsidy needed</t>
  </si>
  <si>
    <t>ridership  funds needed</t>
  </si>
  <si>
    <t>From Fundraising &amp; Grants</t>
  </si>
  <si>
    <t>Self Pay Income</t>
  </si>
  <si>
    <t>Subsidy for Self Pay</t>
  </si>
  <si>
    <t>full pay for 38 weeks</t>
  </si>
  <si>
    <t>$10 for 38 weeks</t>
  </si>
  <si>
    <t>counted in ridership funds needed</t>
  </si>
  <si>
    <t>$15 for 38 weeks</t>
  </si>
  <si>
    <t>$20 for 19 weeks</t>
  </si>
  <si>
    <t>$10 for 19 weeks</t>
  </si>
  <si>
    <t>$25  for 19 weeks</t>
  </si>
  <si>
    <t>$25 for 26 weeks</t>
  </si>
  <si>
    <t>$25 for 12 weeks</t>
  </si>
  <si>
    <t>Projected New Riders at $10 Self-Pay for 30 weeks</t>
  </si>
  <si>
    <t>Budgeted Self-Pay Income</t>
  </si>
  <si>
    <t>Budgeted Self-Pay Subsidy</t>
  </si>
  <si>
    <t>Budget Approved via e-mail 1/17/2021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</si>
</sst>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11111"/>
      <name val="&amp;quot"/>
    </font>
    <font>
      <sz val="10"/>
      <color rgb="FF111111"/>
      <name val="&amp;quot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5">
    <xf numFmtId="0" fontId="0" fillId="0" borderId="0" xfId="0"/>
    <xf numFmtId="44" fontId="0" fillId="0" borderId="0" xfId="1" applyFont="1"/>
    <xf numFmtId="44" fontId="2" fillId="0" borderId="0" xfId="1" applyFont="1"/>
    <xf numFmtId="44" fontId="0" fillId="0" borderId="0" xfId="0" applyNumberFormat="1"/>
    <xf numFmtId="44" fontId="1" fillId="0" borderId="0" xfId="1" applyFont="1"/>
    <xf numFmtId="14" fontId="4" fillId="0" borderId="0" xfId="1" applyNumberFormat="1" applyFont="1"/>
    <xf numFmtId="14" fontId="5" fillId="0" borderId="0" xfId="1" applyNumberFormat="1" applyFont="1"/>
    <xf numFmtId="44" fontId="0" fillId="0" borderId="0" xfId="2" applyFont="1"/>
    <xf numFmtId="44" fontId="0" fillId="0" borderId="0" xfId="1" applyFont="1" applyFill="1"/>
    <xf numFmtId="4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8" fillId="0" borderId="0" xfId="0" applyFont="1"/>
    <xf numFmtId="0" fontId="9" fillId="0" borderId="0" xfId="0" applyFont="1" applyFill="1"/>
    <xf numFmtId="0" fontId="9" fillId="4" borderId="0" xfId="0" applyFont="1" applyFill="1"/>
    <xf numFmtId="164" fontId="9" fillId="4" borderId="0" xfId="0" applyNumberFormat="1" applyFont="1" applyFill="1"/>
    <xf numFmtId="0" fontId="10" fillId="4" borderId="0" xfId="0" applyFont="1" applyFill="1"/>
    <xf numFmtId="4" fontId="0" fillId="0" borderId="0" xfId="0" applyNumberFormat="1"/>
    <xf numFmtId="44" fontId="2" fillId="0" borderId="0" xfId="1" applyFont="1" applyFill="1"/>
    <xf numFmtId="44" fontId="0" fillId="2" borderId="0" xfId="1" applyFont="1" applyFill="1"/>
    <xf numFmtId="44" fontId="0" fillId="3" borderId="0" xfId="1" applyFont="1" applyFill="1"/>
    <xf numFmtId="44" fontId="0" fillId="4" borderId="0" xfId="1" applyFont="1" applyFill="1"/>
    <xf numFmtId="44" fontId="0" fillId="0" borderId="0" xfId="1" applyFont="1" applyAlignment="1">
      <alignment wrapText="1"/>
    </xf>
    <xf numFmtId="0" fontId="5" fillId="2" borderId="0" xfId="0" applyFont="1" applyFill="1"/>
    <xf numFmtId="44" fontId="0" fillId="6" borderId="0" xfId="1" applyFont="1" applyFill="1"/>
    <xf numFmtId="44" fontId="2" fillId="6" borderId="0" xfId="1" applyFont="1" applyFill="1" applyAlignment="1">
      <alignment horizontal="right"/>
    </xf>
    <xf numFmtId="44" fontId="12" fillId="6" borderId="0" xfId="1" applyFont="1" applyFill="1"/>
    <xf numFmtId="44" fontId="2" fillId="3" borderId="0" xfId="1" applyFont="1" applyFill="1"/>
    <xf numFmtId="44" fontId="13" fillId="0" borderId="0" xfId="1" applyFont="1"/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3"/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14" fontId="1" fillId="0" borderId="0" xfId="1" applyNumberFormat="1" applyFont="1" applyFill="1"/>
    <xf numFmtId="44" fontId="0" fillId="0" borderId="0" xfId="1" applyFont="1" applyFill="1" applyAlignment="1">
      <alignment horizontal="center"/>
    </xf>
    <xf numFmtId="0" fontId="10" fillId="0" borderId="0" xfId="0" applyFont="1" applyFill="1"/>
    <xf numFmtId="164" fontId="9" fillId="4" borderId="0" xfId="1" applyNumberFormat="1" applyFont="1" applyFill="1"/>
    <xf numFmtId="164" fontId="9" fillId="4" borderId="0" xfId="1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44" fontId="0" fillId="7" borderId="0" xfId="1" applyFont="1" applyFill="1"/>
    <xf numFmtId="0" fontId="17" fillId="7" borderId="0" xfId="0" applyFont="1" applyFill="1"/>
    <xf numFmtId="164" fontId="0" fillId="0" borderId="0" xfId="1" applyNumberFormat="1" applyFont="1" applyFill="1"/>
    <xf numFmtId="44" fontId="0" fillId="5" borderId="0" xfId="1" applyFont="1" applyFill="1"/>
    <xf numFmtId="44" fontId="12" fillId="0" borderId="0" xfId="1" applyFont="1"/>
    <xf numFmtId="44" fontId="18" fillId="6" borderId="0" xfId="1" applyFont="1" applyFill="1"/>
    <xf numFmtId="44" fontId="2" fillId="6" borderId="0" xfId="1" applyFont="1" applyFill="1"/>
    <xf numFmtId="14" fontId="19" fillId="6" borderId="0" xfId="2" applyNumberFormat="1" applyFont="1" applyFill="1"/>
    <xf numFmtId="14" fontId="4" fillId="6" borderId="0" xfId="2" applyNumberFormat="1" applyFont="1" applyFill="1"/>
    <xf numFmtId="44" fontId="2" fillId="6" borderId="0" xfId="1" applyFont="1" applyFill="1" applyAlignment="1">
      <alignment horizontal="center"/>
    </xf>
    <xf numFmtId="44" fontId="2" fillId="0" borderId="0" xfId="1" applyFont="1" applyAlignment="1">
      <alignment horizontal="center"/>
    </xf>
    <xf numFmtId="44" fontId="1" fillId="0" borderId="0" xfId="1"/>
    <xf numFmtId="44" fontId="0" fillId="4" borderId="0" xfId="1" applyFont="1" applyFill="1" applyAlignment="1">
      <alignment wrapText="1"/>
    </xf>
    <xf numFmtId="44" fontId="22" fillId="0" borderId="0" xfId="1" applyFont="1" applyAlignment="1">
      <alignment horizontal="right"/>
    </xf>
    <xf numFmtId="44" fontId="0" fillId="0" borderId="0" xfId="2" applyFont="1" applyFill="1"/>
    <xf numFmtId="44" fontId="13" fillId="0" borderId="0" xfId="1" applyFont="1" applyFill="1"/>
    <xf numFmtId="44" fontId="12" fillId="0" borderId="0" xfId="0" applyNumberFormat="1" applyFont="1"/>
    <xf numFmtId="0" fontId="7" fillId="4" borderId="0" xfId="0" applyFont="1" applyFill="1"/>
    <xf numFmtId="14" fontId="4" fillId="8" borderId="0" xfId="2" applyNumberFormat="1" applyFont="1" applyFill="1"/>
    <xf numFmtId="44" fontId="0" fillId="8" borderId="0" xfId="1" applyFont="1" applyFill="1"/>
    <xf numFmtId="14" fontId="5" fillId="8" borderId="0" xfId="2" applyNumberFormat="1" applyFont="1" applyFill="1"/>
    <xf numFmtId="44" fontId="6" fillId="8" borderId="0" xfId="1" applyFont="1" applyFill="1" applyAlignment="1">
      <alignment wrapText="1"/>
    </xf>
    <xf numFmtId="44" fontId="0" fillId="8" borderId="0" xfId="2" applyFont="1" applyFill="1"/>
    <xf numFmtId="0" fontId="0" fillId="8" borderId="0" xfId="0" applyFill="1"/>
    <xf numFmtId="44" fontId="3" fillId="8" borderId="0" xfId="2" applyFill="1"/>
    <xf numFmtId="44" fontId="2" fillId="8" borderId="0" xfId="1" applyFont="1" applyFill="1"/>
    <xf numFmtId="44" fontId="1" fillId="8" borderId="0" xfId="1" applyFont="1" applyFill="1"/>
    <xf numFmtId="44" fontId="7" fillId="8" borderId="0" xfId="1" applyFont="1" applyFill="1"/>
    <xf numFmtId="0" fontId="17" fillId="8" borderId="0" xfId="0" applyFont="1" applyFill="1"/>
    <xf numFmtId="44" fontId="2" fillId="8" borderId="0" xfId="0" applyNumberFormat="1" applyFont="1" applyFill="1" applyAlignment="1">
      <alignment horizontal="left"/>
    </xf>
    <xf numFmtId="44" fontId="0" fillId="8" borderId="0" xfId="1" applyFont="1" applyFill="1" applyAlignment="1">
      <alignment horizontal="left"/>
    </xf>
    <xf numFmtId="0" fontId="17" fillId="8" borderId="0" xfId="0" applyFont="1" applyFill="1" applyAlignment="1">
      <alignment horizontal="left"/>
    </xf>
    <xf numFmtId="44" fontId="0" fillId="8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44" fontId="3" fillId="8" borderId="0" xfId="2" applyFill="1" applyAlignment="1">
      <alignment wrapText="1"/>
    </xf>
    <xf numFmtId="44" fontId="20" fillId="8" borderId="0" xfId="2" applyFont="1" applyFill="1"/>
    <xf numFmtId="44" fontId="0" fillId="8" borderId="0" xfId="0" applyNumberFormat="1" applyFill="1"/>
    <xf numFmtId="44" fontId="3" fillId="8" borderId="0" xfId="2" quotePrefix="1" applyFont="1" applyFill="1"/>
    <xf numFmtId="44" fontId="0" fillId="8" borderId="0" xfId="1" applyFont="1" applyFill="1" applyAlignment="1">
      <alignment wrapText="1"/>
    </xf>
    <xf numFmtId="44" fontId="9" fillId="8" borderId="0" xfId="0" applyNumberFormat="1" applyFont="1" applyFill="1" applyAlignment="1">
      <alignment vertical="top"/>
    </xf>
    <xf numFmtId="0" fontId="9" fillId="8" borderId="0" xfId="0" applyFont="1" applyFill="1"/>
    <xf numFmtId="164" fontId="9" fillId="8" borderId="0" xfId="1" applyNumberFormat="1" applyFont="1" applyFill="1" applyAlignment="1">
      <alignment horizontal="right"/>
    </xf>
    <xf numFmtId="0" fontId="9" fillId="8" borderId="0" xfId="0" applyFont="1" applyFill="1" applyAlignment="1">
      <alignment horizontal="right"/>
    </xf>
    <xf numFmtId="164" fontId="9" fillId="8" borderId="0" xfId="0" applyNumberFormat="1" applyFont="1" applyFill="1"/>
    <xf numFmtId="0" fontId="10" fillId="8" borderId="0" xfId="0" applyFont="1" applyFill="1"/>
    <xf numFmtId="164" fontId="9" fillId="8" borderId="0" xfId="1" applyNumberFormat="1" applyFont="1" applyFill="1" applyAlignment="1">
      <alignment horizontal="left"/>
    </xf>
    <xf numFmtId="44" fontId="11" fillId="8" borderId="0" xfId="2" applyFont="1" applyFill="1"/>
    <xf numFmtId="44" fontId="8" fillId="8" borderId="0" xfId="1" applyFont="1" applyFill="1"/>
    <xf numFmtId="7" fontId="3" fillId="8" borderId="0" xfId="2" applyNumberFormat="1" applyFill="1"/>
    <xf numFmtId="44" fontId="3" fillId="8" borderId="0" xfId="2" applyFill="1" applyAlignment="1">
      <alignment horizontal="right"/>
    </xf>
    <xf numFmtId="0" fontId="3" fillId="8" borderId="0" xfId="0" applyFont="1" applyFill="1"/>
    <xf numFmtId="44" fontId="0" fillId="8" borderId="0" xfId="1" applyFont="1" applyFill="1" applyAlignment="1">
      <alignment horizontal="center"/>
    </xf>
    <xf numFmtId="44" fontId="11" fillId="8" borderId="0" xfId="2" applyFont="1" applyFill="1" applyAlignment="1">
      <alignment horizontal="right"/>
    </xf>
    <xf numFmtId="44" fontId="3" fillId="8" borderId="0" xfId="0" applyNumberFormat="1" applyFont="1" applyFill="1" applyAlignment="1">
      <alignment horizontal="right"/>
    </xf>
    <xf numFmtId="44" fontId="21" fillId="8" borderId="0" xfId="2" applyFont="1" applyFill="1"/>
    <xf numFmtId="0" fontId="0" fillId="8" borderId="0" xfId="0" applyFill="1" applyAlignment="1">
      <alignment horizontal="right"/>
    </xf>
    <xf numFmtId="44" fontId="2" fillId="8" borderId="0" xfId="0" applyNumberFormat="1" applyFont="1" applyFill="1"/>
    <xf numFmtId="0" fontId="22" fillId="8" borderId="0" xfId="0" applyFont="1" applyFill="1" applyAlignment="1">
      <alignment horizontal="right"/>
    </xf>
    <xf numFmtId="164" fontId="24" fillId="5" borderId="0" xfId="1" applyNumberFormat="1" applyFont="1" applyFill="1" applyAlignment="1">
      <alignment horizontal="left"/>
    </xf>
    <xf numFmtId="0" fontId="24" fillId="5" borderId="0" xfId="0" applyFont="1" applyFill="1" applyAlignment="1">
      <alignment horizontal="left"/>
    </xf>
    <xf numFmtId="164" fontId="24" fillId="10" borderId="0" xfId="1" applyNumberFormat="1" applyFont="1" applyFill="1" applyAlignment="1">
      <alignment horizontal="left"/>
    </xf>
    <xf numFmtId="0" fontId="24" fillId="8" borderId="0" xfId="0" applyFont="1" applyFill="1"/>
    <xf numFmtId="0" fontId="6" fillId="11" borderId="0" xfId="0" applyFont="1" applyFill="1" applyAlignment="1">
      <alignment wrapText="1"/>
    </xf>
    <xf numFmtId="44" fontId="25" fillId="0" borderId="0" xfId="1" applyFont="1" applyFill="1"/>
    <xf numFmtId="0" fontId="24" fillId="0" borderId="0" xfId="0" applyFont="1" applyFill="1"/>
    <xf numFmtId="0" fontId="24" fillId="11" borderId="0" xfId="0" applyFont="1" applyFill="1" applyAlignment="1"/>
    <xf numFmtId="164" fontId="6" fillId="11" borderId="0" xfId="1" applyNumberFormat="1" applyFont="1" applyFill="1" applyAlignment="1">
      <alignment horizontal="left" vertical="top"/>
    </xf>
    <xf numFmtId="44" fontId="0" fillId="11" borderId="0" xfId="1" applyFont="1" applyFill="1"/>
    <xf numFmtId="44" fontId="0" fillId="9" borderId="0" xfId="1" applyFont="1" applyFill="1"/>
    <xf numFmtId="0" fontId="24" fillId="10" borderId="0" xfId="0" applyFont="1" applyFill="1"/>
    <xf numFmtId="44" fontId="0" fillId="10" borderId="0" xfId="1" applyFont="1" applyFill="1"/>
    <xf numFmtId="164" fontId="24" fillId="10" borderId="0" xfId="0" applyNumberFormat="1" applyFont="1" applyFill="1" applyAlignment="1"/>
    <xf numFmtId="164" fontId="0" fillId="0" borderId="0" xfId="0" applyNumberFormat="1"/>
    <xf numFmtId="164" fontId="24" fillId="5" borderId="0" xfId="1" applyNumberFormat="1" applyFont="1" applyFill="1" applyAlignment="1">
      <alignment horizontal="right"/>
    </xf>
    <xf numFmtId="44" fontId="23" fillId="0" borderId="0" xfId="1" applyFont="1" applyFill="1"/>
    <xf numFmtId="44" fontId="23" fillId="8" borderId="0" xfId="1" applyFont="1" applyFill="1"/>
    <xf numFmtId="0" fontId="23" fillId="0" borderId="0" xfId="0" applyFont="1"/>
    <xf numFmtId="44" fontId="23" fillId="0" borderId="0" xfId="1" applyFont="1"/>
    <xf numFmtId="14" fontId="23" fillId="0" borderId="0" xfId="1" applyNumberFormat="1" applyFont="1" applyFill="1"/>
    <xf numFmtId="0" fontId="23" fillId="0" borderId="0" xfId="0" applyFont="1" applyFill="1"/>
    <xf numFmtId="44" fontId="7" fillId="8" borderId="0" xfId="0" applyNumberFormat="1" applyFont="1" applyFill="1" applyAlignment="1">
      <alignment horizontal="left"/>
    </xf>
    <xf numFmtId="0" fontId="23" fillId="8" borderId="0" xfId="0" applyFont="1" applyFill="1"/>
    <xf numFmtId="0" fontId="23" fillId="8" borderId="0" xfId="0" applyFont="1" applyFill="1" applyAlignment="1"/>
    <xf numFmtId="44" fontId="23" fillId="0" borderId="0" xfId="0" applyNumberFormat="1" applyFont="1"/>
    <xf numFmtId="44" fontId="23" fillId="8" borderId="0" xfId="0" applyNumberFormat="1" applyFont="1" applyFill="1"/>
    <xf numFmtId="44" fontId="23" fillId="8" borderId="0" xfId="1" applyFont="1" applyFill="1" applyAlignment="1">
      <alignment wrapText="1"/>
    </xf>
    <xf numFmtId="44" fontId="5" fillId="8" borderId="0" xfId="2" applyFont="1" applyFill="1"/>
    <xf numFmtId="44" fontId="23" fillId="8" borderId="0" xfId="1" applyFont="1" applyFill="1" applyAlignment="1">
      <alignment horizontal="center"/>
    </xf>
    <xf numFmtId="44" fontId="23" fillId="0" borderId="0" xfId="1" applyFont="1" applyAlignment="1">
      <alignment wrapText="1"/>
    </xf>
    <xf numFmtId="44" fontId="5" fillId="8" borderId="0" xfId="2" applyFont="1" applyFill="1" applyAlignment="1">
      <alignment horizontal="right"/>
    </xf>
    <xf numFmtId="44" fontId="7" fillId="8" borderId="0" xfId="0" applyNumberFormat="1" applyFont="1" applyFill="1"/>
    <xf numFmtId="44" fontId="3" fillId="8" borderId="0" xfId="2" applyFont="1" applyFill="1"/>
    <xf numFmtId="44" fontId="3" fillId="8" borderId="0" xfId="2" applyFont="1" applyFill="1" applyAlignment="1">
      <alignment horizontal="right"/>
    </xf>
    <xf numFmtId="7" fontId="3" fillId="8" borderId="0" xfId="2" applyNumberFormat="1" applyFont="1" applyFill="1"/>
    <xf numFmtId="0" fontId="27" fillId="8" borderId="0" xfId="0" applyFont="1" applyFill="1" applyAlignment="1">
      <alignment horizontal="left"/>
    </xf>
    <xf numFmtId="44" fontId="3" fillId="8" borderId="0" xfId="2" applyFont="1" applyFill="1" applyAlignment="1">
      <alignment horizontal="left"/>
    </xf>
    <xf numFmtId="44" fontId="27" fillId="8" borderId="0" xfId="1" applyFont="1" applyFill="1"/>
    <xf numFmtId="44" fontId="27" fillId="8" borderId="0" xfId="0" applyNumberFormat="1" applyFont="1" applyFill="1" applyAlignment="1">
      <alignment vertical="top"/>
    </xf>
    <xf numFmtId="44" fontId="27" fillId="8" borderId="0" xfId="1" applyFont="1" applyFill="1" applyAlignment="1"/>
    <xf numFmtId="0" fontId="27" fillId="8" borderId="0" xfId="0" applyFont="1" applyFill="1" applyAlignment="1"/>
    <xf numFmtId="0" fontId="27" fillId="8" borderId="0" xfId="0" applyFont="1" applyFill="1"/>
    <xf numFmtId="44" fontId="27" fillId="8" borderId="0" xfId="0" applyNumberFormat="1" applyFont="1" applyFill="1" applyAlignment="1"/>
    <xf numFmtId="0" fontId="24" fillId="7" borderId="0" xfId="0" applyFont="1" applyFill="1" applyAlignment="1">
      <alignment horizontal="left"/>
    </xf>
    <xf numFmtId="164" fontId="24" fillId="4" borderId="0" xfId="1" applyNumberFormat="1" applyFont="1" applyFill="1" applyAlignment="1"/>
    <xf numFmtId="0" fontId="24" fillId="4" borderId="0" xfId="0" applyFont="1" applyFill="1" applyAlignment="1"/>
    <xf numFmtId="0" fontId="0" fillId="0" borderId="0" xfId="0" applyAlignment="1">
      <alignment horizontal="left"/>
    </xf>
    <xf numFmtId="164" fontId="24" fillId="7" borderId="0" xfId="1" applyNumberFormat="1" applyFont="1" applyFill="1" applyAlignment="1">
      <alignment horizontal="left"/>
    </xf>
    <xf numFmtId="164" fontId="24" fillId="7" borderId="0" xfId="1" applyNumberFormat="1" applyFont="1" applyFill="1" applyAlignment="1">
      <alignment horizontal="center"/>
    </xf>
    <xf numFmtId="0" fontId="24" fillId="9" borderId="0" xfId="0" applyFont="1" applyFill="1" applyAlignment="1">
      <alignment vertical="center"/>
    </xf>
    <xf numFmtId="0" fontId="24" fillId="8" borderId="0" xfId="0" applyFont="1" applyFill="1" applyAlignment="1">
      <alignment horizontal="right"/>
    </xf>
    <xf numFmtId="0" fontId="24" fillId="4" borderId="0" xfId="0" applyFont="1" applyFill="1" applyAlignment="1">
      <alignment horizontal="left" wrapText="1"/>
    </xf>
    <xf numFmtId="0" fontId="21" fillId="8" borderId="0" xfId="0" applyFont="1" applyFill="1" applyAlignment="1">
      <alignment horizontal="center"/>
    </xf>
    <xf numFmtId="164" fontId="24" fillId="8" borderId="0" xfId="0" applyNumberFormat="1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Reports%20for%20BO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nd Proposal02182019"/>
      <sheetName val="Approved Budget 2021"/>
      <sheetName val="Actual"/>
      <sheetName val="Balance Sheet"/>
      <sheetName val="Accts Payable"/>
      <sheetName val="Accts Receivable"/>
      <sheetName val="Quicken Transaction no ARAP"/>
      <sheetName val="Quicken Transaction Report ARAP"/>
      <sheetName val="FundRaising Budget"/>
      <sheetName val="Ridership Re-cap"/>
      <sheetName val="In-Kind Donations"/>
      <sheetName val="PayPal acct"/>
      <sheetName val="KeyStaff List"/>
    </sheetNames>
    <sheetDataSet>
      <sheetData sheetId="0"/>
      <sheetData sheetId="1">
        <row r="71">
          <cell r="A71">
            <v>-22434</v>
          </cell>
        </row>
      </sheetData>
      <sheetData sheetId="2"/>
      <sheetData sheetId="3">
        <row r="1">
          <cell r="B1" t="str">
            <v>As of 02/14/2021</v>
          </cell>
        </row>
      </sheetData>
      <sheetData sheetId="4"/>
      <sheetData sheetId="5"/>
      <sheetData sheetId="6">
        <row r="9">
          <cell r="I9">
            <v>3915.8</v>
          </cell>
        </row>
        <row r="49">
          <cell r="I49">
            <v>1650</v>
          </cell>
        </row>
        <row r="60">
          <cell r="I60">
            <v>50</v>
          </cell>
        </row>
        <row r="67">
          <cell r="I67">
            <v>300</v>
          </cell>
        </row>
        <row r="70">
          <cell r="I70">
            <v>98.38</v>
          </cell>
        </row>
        <row r="75">
          <cell r="I75">
            <v>12341</v>
          </cell>
        </row>
        <row r="136">
          <cell r="I136">
            <v>462.4</v>
          </cell>
        </row>
        <row r="143">
          <cell r="I143">
            <v>391.85</v>
          </cell>
        </row>
        <row r="145">
          <cell r="I145">
            <v>1616</v>
          </cell>
        </row>
        <row r="173">
          <cell r="I173">
            <v>4001.66</v>
          </cell>
        </row>
        <row r="185">
          <cell r="I185">
            <v>275</v>
          </cell>
        </row>
        <row r="188">
          <cell r="I188">
            <v>50</v>
          </cell>
        </row>
        <row r="190">
          <cell r="I190">
            <v>600</v>
          </cell>
        </row>
        <row r="192">
          <cell r="I192">
            <v>196.05</v>
          </cell>
        </row>
        <row r="194">
          <cell r="I194">
            <v>3050</v>
          </cell>
        </row>
        <row r="207">
          <cell r="I207">
            <v>6003.99</v>
          </cell>
        </row>
        <row r="275">
          <cell r="I275">
            <v>1220</v>
          </cell>
        </row>
        <row r="277">
          <cell r="I277">
            <v>1760</v>
          </cell>
        </row>
        <row r="279">
          <cell r="I279">
            <v>3600</v>
          </cell>
        </row>
        <row r="282">
          <cell r="I282">
            <v>3420</v>
          </cell>
        </row>
        <row r="285">
          <cell r="I285">
            <v>9250</v>
          </cell>
        </row>
        <row r="291">
          <cell r="I291">
            <v>145</v>
          </cell>
        </row>
        <row r="302">
          <cell r="I302">
            <v>4500</v>
          </cell>
        </row>
        <row r="304">
          <cell r="I304">
            <v>17480</v>
          </cell>
        </row>
        <row r="450">
          <cell r="I450">
            <v>-65</v>
          </cell>
        </row>
        <row r="455">
          <cell r="I455">
            <v>-8883</v>
          </cell>
        </row>
        <row r="469">
          <cell r="I469">
            <v>-600</v>
          </cell>
        </row>
        <row r="482">
          <cell r="I482">
            <v>-2205</v>
          </cell>
        </row>
        <row r="490">
          <cell r="I490">
            <v>-3180</v>
          </cell>
        </row>
        <row r="503">
          <cell r="I503">
            <v>-3180</v>
          </cell>
        </row>
        <row r="516">
          <cell r="I516">
            <v>-3780</v>
          </cell>
        </row>
        <row r="529">
          <cell r="I529">
            <v>1142</v>
          </cell>
        </row>
        <row r="542">
          <cell r="I542">
            <v>-3420</v>
          </cell>
        </row>
        <row r="556">
          <cell r="I556">
            <v>-2552.9499999999998</v>
          </cell>
        </row>
        <row r="562">
          <cell r="I562">
            <v>-135</v>
          </cell>
        </row>
        <row r="564">
          <cell r="I564">
            <v>-2019</v>
          </cell>
        </row>
        <row r="567">
          <cell r="I567">
            <v>100</v>
          </cell>
        </row>
        <row r="569">
          <cell r="I569">
            <v>-160</v>
          </cell>
        </row>
        <row r="573">
          <cell r="I573">
            <v>-360</v>
          </cell>
        </row>
        <row r="588">
          <cell r="I588">
            <v>-160</v>
          </cell>
        </row>
        <row r="592">
          <cell r="I592">
            <v>-160</v>
          </cell>
        </row>
        <row r="596">
          <cell r="I596">
            <v>-110</v>
          </cell>
        </row>
        <row r="604">
          <cell r="I604">
            <v>-190</v>
          </cell>
        </row>
        <row r="616">
          <cell r="I616">
            <v>-210</v>
          </cell>
        </row>
        <row r="629">
          <cell r="I629">
            <v>-210</v>
          </cell>
        </row>
        <row r="642">
          <cell r="I642">
            <v>-748.6</v>
          </cell>
        </row>
        <row r="651">
          <cell r="I651">
            <v>-532.41999999999996</v>
          </cell>
        </row>
        <row r="672">
          <cell r="I672">
            <v>-720.72</v>
          </cell>
        </row>
        <row r="707">
          <cell r="I707">
            <v>-662.57</v>
          </cell>
        </row>
        <row r="735">
          <cell r="I735">
            <v>-768.37</v>
          </cell>
        </row>
        <row r="777">
          <cell r="I777">
            <v>-231.26</v>
          </cell>
        </row>
        <row r="784">
          <cell r="I784">
            <v>-2970</v>
          </cell>
        </row>
        <row r="793">
          <cell r="I793">
            <v>-4005</v>
          </cell>
        </row>
        <row r="806">
          <cell r="I806">
            <v>-4005</v>
          </cell>
        </row>
        <row r="819">
          <cell r="I819">
            <v>-3870</v>
          </cell>
        </row>
        <row r="832">
          <cell r="I832">
            <v>75.5</v>
          </cell>
        </row>
        <row r="834">
          <cell r="I834">
            <v>-820.76</v>
          </cell>
        </row>
        <row r="842">
          <cell r="I842">
            <v>-508.5</v>
          </cell>
        </row>
        <row r="844">
          <cell r="I844">
            <v>-135</v>
          </cell>
        </row>
        <row r="845">
          <cell r="I845">
            <v>33.75</v>
          </cell>
        </row>
        <row r="846">
          <cell r="I846">
            <v>-41</v>
          </cell>
        </row>
        <row r="847">
          <cell r="I847">
            <v>10.25</v>
          </cell>
        </row>
        <row r="848">
          <cell r="I848">
            <v>-110</v>
          </cell>
        </row>
        <row r="849">
          <cell r="I849">
            <v>37.75</v>
          </cell>
        </row>
        <row r="850">
          <cell r="I850">
            <v>-41</v>
          </cell>
        </row>
        <row r="851">
          <cell r="I851">
            <v>-110</v>
          </cell>
        </row>
        <row r="852">
          <cell r="I852">
            <v>28</v>
          </cell>
        </row>
        <row r="853">
          <cell r="I853">
            <v>-31.25</v>
          </cell>
        </row>
        <row r="854">
          <cell r="I854">
            <v>-736.68</v>
          </cell>
        </row>
        <row r="855">
          <cell r="I855">
            <v>-151</v>
          </cell>
        </row>
        <row r="857">
          <cell r="I857">
            <v>-110</v>
          </cell>
        </row>
        <row r="858">
          <cell r="I858">
            <v>-41</v>
          </cell>
        </row>
        <row r="859">
          <cell r="I859">
            <v>37.75</v>
          </cell>
        </row>
        <row r="861">
          <cell r="I861">
            <v>-110</v>
          </cell>
        </row>
        <row r="862">
          <cell r="I862">
            <v>37.75</v>
          </cell>
        </row>
        <row r="863">
          <cell r="I863">
            <v>-41</v>
          </cell>
        </row>
        <row r="864">
          <cell r="I864">
            <v>-110</v>
          </cell>
        </row>
        <row r="865">
          <cell r="I865">
            <v>28</v>
          </cell>
        </row>
        <row r="866">
          <cell r="I866">
            <v>-31.25</v>
          </cell>
        </row>
        <row r="867">
          <cell r="I867">
            <v>-566.71</v>
          </cell>
        </row>
        <row r="868">
          <cell r="I868">
            <v>-151</v>
          </cell>
        </row>
        <row r="869">
          <cell r="I869">
            <v>-110</v>
          </cell>
        </row>
        <row r="870">
          <cell r="I870">
            <v>-41</v>
          </cell>
        </row>
        <row r="871">
          <cell r="I871">
            <v>37.75</v>
          </cell>
        </row>
        <row r="874">
          <cell r="I874">
            <v>-110</v>
          </cell>
        </row>
        <row r="875">
          <cell r="I875">
            <v>27.5</v>
          </cell>
        </row>
        <row r="877">
          <cell r="I877">
            <v>-350</v>
          </cell>
        </row>
        <row r="878">
          <cell r="I878">
            <v>-1577</v>
          </cell>
        </row>
        <row r="879">
          <cell r="I879">
            <v>-1286</v>
          </cell>
        </row>
        <row r="880">
          <cell r="I880">
            <v>-150</v>
          </cell>
        </row>
        <row r="883">
          <cell r="I883">
            <v>-50</v>
          </cell>
        </row>
        <row r="884">
          <cell r="I884">
            <v>-600</v>
          </cell>
        </row>
        <row r="885">
          <cell r="I885">
            <v>-150</v>
          </cell>
        </row>
        <row r="886">
          <cell r="I886">
            <v>-125</v>
          </cell>
        </row>
        <row r="888">
          <cell r="I888">
            <v>-89.62</v>
          </cell>
        </row>
        <row r="921">
          <cell r="I921">
            <v>-160.08000000000001</v>
          </cell>
        </row>
        <row r="924">
          <cell r="I924">
            <v>-108.92</v>
          </cell>
        </row>
        <row r="926">
          <cell r="I926">
            <v>-110.48</v>
          </cell>
        </row>
        <row r="930">
          <cell r="I930">
            <v>-139.01</v>
          </cell>
        </row>
        <row r="944">
          <cell r="I944">
            <v>-25</v>
          </cell>
        </row>
        <row r="946">
          <cell r="I946">
            <v>-275</v>
          </cell>
        </row>
        <row r="949">
          <cell r="I949">
            <v>-114.89</v>
          </cell>
        </row>
        <row r="957">
          <cell r="I957">
            <v>-100.5</v>
          </cell>
        </row>
        <row r="963">
          <cell r="I963">
            <v>-158</v>
          </cell>
        </row>
        <row r="968">
          <cell r="I968">
            <v>-20</v>
          </cell>
        </row>
        <row r="970">
          <cell r="I970">
            <v>-130.84</v>
          </cell>
        </row>
        <row r="975">
          <cell r="I975">
            <v>-258.04000000000002</v>
          </cell>
        </row>
        <row r="982">
          <cell r="I982">
            <v>-323.89</v>
          </cell>
        </row>
        <row r="987">
          <cell r="I987">
            <v>-59</v>
          </cell>
        </row>
        <row r="990">
          <cell r="I990">
            <v>-15000</v>
          </cell>
        </row>
        <row r="1003">
          <cell r="I1003">
            <v>-273</v>
          </cell>
        </row>
        <row r="1009">
          <cell r="I1009">
            <v>-2289</v>
          </cell>
        </row>
        <row r="1015">
          <cell r="I1015">
            <v>-0.01</v>
          </cell>
        </row>
        <row r="1019">
          <cell r="I1019">
            <v>-32</v>
          </cell>
        </row>
        <row r="1041">
          <cell r="I1041">
            <v>-272.36</v>
          </cell>
        </row>
        <row r="1063">
          <cell r="I1063">
            <v>-1015.72</v>
          </cell>
        </row>
        <row r="1085">
          <cell r="I1085">
            <v>50</v>
          </cell>
        </row>
        <row r="1107">
          <cell r="I1107">
            <v>-30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1"/>
  <sheetViews>
    <sheetView workbookViewId="0">
      <selection activeCell="G82" sqref="G82"/>
    </sheetView>
  </sheetViews>
  <sheetFormatPr defaultRowHeight="15"/>
  <cols>
    <col min="1" max="1" width="29.42578125" style="20" customWidth="1"/>
    <col min="2" max="2" width="21.42578125" style="20" customWidth="1"/>
    <col min="3" max="3" width="18.5703125" style="27" customWidth="1"/>
    <col min="4" max="4" width="41.5703125" style="1" customWidth="1"/>
    <col min="5" max="5" width="19.28515625" style="8" customWidth="1"/>
    <col min="6" max="6" width="23.42578125" style="1" customWidth="1"/>
    <col min="7" max="7" width="20" customWidth="1"/>
    <col min="8" max="8" width="13.85546875" customWidth="1"/>
    <col min="9" max="9" width="12" customWidth="1"/>
    <col min="10" max="10" width="13" customWidth="1"/>
    <col min="11" max="11" width="12.85546875" customWidth="1"/>
    <col min="12" max="12" width="12.7109375" customWidth="1"/>
    <col min="13" max="13" width="11.85546875" customWidth="1"/>
    <col min="14" max="14" width="11.5703125" bestFit="1" customWidth="1"/>
    <col min="15" max="15" width="11.85546875" customWidth="1"/>
    <col min="16" max="16" width="11.5703125" bestFit="1" customWidth="1"/>
    <col min="251" max="251" width="37.140625" customWidth="1"/>
    <col min="252" max="252" width="20.85546875" customWidth="1"/>
    <col min="253" max="253" width="23.85546875" customWidth="1"/>
    <col min="254" max="254" width="18.85546875" customWidth="1"/>
    <col min="255" max="255" width="16.5703125" customWidth="1"/>
    <col min="256" max="256" width="12.28515625" bestFit="1" customWidth="1"/>
    <col min="257" max="257" width="11.28515625" customWidth="1"/>
    <col min="258" max="258" width="11.7109375" customWidth="1"/>
    <col min="259" max="259" width="11" customWidth="1"/>
    <col min="260" max="260" width="17" customWidth="1"/>
    <col min="261" max="261" width="11.28515625" bestFit="1" customWidth="1"/>
    <col min="263" max="263" width="14.5703125" customWidth="1"/>
    <col min="507" max="507" width="37.140625" customWidth="1"/>
    <col min="508" max="508" width="20.85546875" customWidth="1"/>
    <col min="509" max="509" width="23.85546875" customWidth="1"/>
    <col min="510" max="510" width="18.85546875" customWidth="1"/>
    <col min="511" max="511" width="16.5703125" customWidth="1"/>
    <col min="512" max="512" width="12.28515625" bestFit="1" customWidth="1"/>
    <col min="513" max="513" width="11.28515625" customWidth="1"/>
    <col min="514" max="514" width="11.7109375" customWidth="1"/>
    <col min="515" max="515" width="11" customWidth="1"/>
    <col min="516" max="516" width="17" customWidth="1"/>
    <col min="517" max="517" width="11.28515625" bestFit="1" customWidth="1"/>
    <col min="519" max="519" width="14.5703125" customWidth="1"/>
    <col min="763" max="763" width="37.140625" customWidth="1"/>
    <col min="764" max="764" width="20.85546875" customWidth="1"/>
    <col min="765" max="765" width="23.85546875" customWidth="1"/>
    <col min="766" max="766" width="18.85546875" customWidth="1"/>
    <col min="767" max="767" width="16.5703125" customWidth="1"/>
    <col min="768" max="768" width="12.28515625" bestFit="1" customWidth="1"/>
    <col min="769" max="769" width="11.28515625" customWidth="1"/>
    <col min="770" max="770" width="11.7109375" customWidth="1"/>
    <col min="771" max="771" width="11" customWidth="1"/>
    <col min="772" max="772" width="17" customWidth="1"/>
    <col min="773" max="773" width="11.28515625" bestFit="1" customWidth="1"/>
    <col min="775" max="775" width="14.5703125" customWidth="1"/>
    <col min="1019" max="1019" width="37.140625" customWidth="1"/>
    <col min="1020" max="1020" width="20.85546875" customWidth="1"/>
    <col min="1021" max="1021" width="23.85546875" customWidth="1"/>
    <col min="1022" max="1022" width="18.85546875" customWidth="1"/>
    <col min="1023" max="1023" width="16.5703125" customWidth="1"/>
    <col min="1024" max="1024" width="12.28515625" bestFit="1" customWidth="1"/>
    <col min="1025" max="1025" width="11.28515625" customWidth="1"/>
    <col min="1026" max="1026" width="11.7109375" customWidth="1"/>
    <col min="1027" max="1027" width="11" customWidth="1"/>
    <col min="1028" max="1028" width="17" customWidth="1"/>
    <col min="1029" max="1029" width="11.28515625" bestFit="1" customWidth="1"/>
    <col min="1031" max="1031" width="14.5703125" customWidth="1"/>
    <col min="1275" max="1275" width="37.140625" customWidth="1"/>
    <col min="1276" max="1276" width="20.85546875" customWidth="1"/>
    <col min="1277" max="1277" width="23.85546875" customWidth="1"/>
    <col min="1278" max="1278" width="18.85546875" customWidth="1"/>
    <col min="1279" max="1279" width="16.5703125" customWidth="1"/>
    <col min="1280" max="1280" width="12.28515625" bestFit="1" customWidth="1"/>
    <col min="1281" max="1281" width="11.28515625" customWidth="1"/>
    <col min="1282" max="1282" width="11.7109375" customWidth="1"/>
    <col min="1283" max="1283" width="11" customWidth="1"/>
    <col min="1284" max="1284" width="17" customWidth="1"/>
    <col min="1285" max="1285" width="11.28515625" bestFit="1" customWidth="1"/>
    <col min="1287" max="1287" width="14.5703125" customWidth="1"/>
    <col min="1531" max="1531" width="37.140625" customWidth="1"/>
    <col min="1532" max="1532" width="20.85546875" customWidth="1"/>
    <col min="1533" max="1533" width="23.85546875" customWidth="1"/>
    <col min="1534" max="1534" width="18.85546875" customWidth="1"/>
    <col min="1535" max="1535" width="16.5703125" customWidth="1"/>
    <col min="1536" max="1536" width="12.28515625" bestFit="1" customWidth="1"/>
    <col min="1537" max="1537" width="11.28515625" customWidth="1"/>
    <col min="1538" max="1538" width="11.7109375" customWidth="1"/>
    <col min="1539" max="1539" width="11" customWidth="1"/>
    <col min="1540" max="1540" width="17" customWidth="1"/>
    <col min="1541" max="1541" width="11.28515625" bestFit="1" customWidth="1"/>
    <col min="1543" max="1543" width="14.5703125" customWidth="1"/>
    <col min="1787" max="1787" width="37.140625" customWidth="1"/>
    <col min="1788" max="1788" width="20.85546875" customWidth="1"/>
    <col min="1789" max="1789" width="23.85546875" customWidth="1"/>
    <col min="1790" max="1790" width="18.85546875" customWidth="1"/>
    <col min="1791" max="1791" width="16.5703125" customWidth="1"/>
    <col min="1792" max="1792" width="12.28515625" bestFit="1" customWidth="1"/>
    <col min="1793" max="1793" width="11.28515625" customWidth="1"/>
    <col min="1794" max="1794" width="11.7109375" customWidth="1"/>
    <col min="1795" max="1795" width="11" customWidth="1"/>
    <col min="1796" max="1796" width="17" customWidth="1"/>
    <col min="1797" max="1797" width="11.28515625" bestFit="1" customWidth="1"/>
    <col min="1799" max="1799" width="14.5703125" customWidth="1"/>
    <col min="2043" max="2043" width="37.140625" customWidth="1"/>
    <col min="2044" max="2044" width="20.85546875" customWidth="1"/>
    <col min="2045" max="2045" width="23.85546875" customWidth="1"/>
    <col min="2046" max="2046" width="18.85546875" customWidth="1"/>
    <col min="2047" max="2047" width="16.5703125" customWidth="1"/>
    <col min="2048" max="2048" width="12.28515625" bestFit="1" customWidth="1"/>
    <col min="2049" max="2049" width="11.28515625" customWidth="1"/>
    <col min="2050" max="2050" width="11.7109375" customWidth="1"/>
    <col min="2051" max="2051" width="11" customWidth="1"/>
    <col min="2052" max="2052" width="17" customWidth="1"/>
    <col min="2053" max="2053" width="11.28515625" bestFit="1" customWidth="1"/>
    <col min="2055" max="2055" width="14.5703125" customWidth="1"/>
    <col min="2299" max="2299" width="37.140625" customWidth="1"/>
    <col min="2300" max="2300" width="20.85546875" customWidth="1"/>
    <col min="2301" max="2301" width="23.85546875" customWidth="1"/>
    <col min="2302" max="2302" width="18.85546875" customWidth="1"/>
    <col min="2303" max="2303" width="16.5703125" customWidth="1"/>
    <col min="2304" max="2304" width="12.28515625" bestFit="1" customWidth="1"/>
    <col min="2305" max="2305" width="11.28515625" customWidth="1"/>
    <col min="2306" max="2306" width="11.7109375" customWidth="1"/>
    <col min="2307" max="2307" width="11" customWidth="1"/>
    <col min="2308" max="2308" width="17" customWidth="1"/>
    <col min="2309" max="2309" width="11.28515625" bestFit="1" customWidth="1"/>
    <col min="2311" max="2311" width="14.5703125" customWidth="1"/>
    <col min="2555" max="2555" width="37.140625" customWidth="1"/>
    <col min="2556" max="2556" width="20.85546875" customWidth="1"/>
    <col min="2557" max="2557" width="23.85546875" customWidth="1"/>
    <col min="2558" max="2558" width="18.85546875" customWidth="1"/>
    <col min="2559" max="2559" width="16.5703125" customWidth="1"/>
    <col min="2560" max="2560" width="12.28515625" bestFit="1" customWidth="1"/>
    <col min="2561" max="2561" width="11.28515625" customWidth="1"/>
    <col min="2562" max="2562" width="11.7109375" customWidth="1"/>
    <col min="2563" max="2563" width="11" customWidth="1"/>
    <col min="2564" max="2564" width="17" customWidth="1"/>
    <col min="2565" max="2565" width="11.28515625" bestFit="1" customWidth="1"/>
    <col min="2567" max="2567" width="14.5703125" customWidth="1"/>
    <col min="2811" max="2811" width="37.140625" customWidth="1"/>
    <col min="2812" max="2812" width="20.85546875" customWidth="1"/>
    <col min="2813" max="2813" width="23.85546875" customWidth="1"/>
    <col min="2814" max="2814" width="18.85546875" customWidth="1"/>
    <col min="2815" max="2815" width="16.5703125" customWidth="1"/>
    <col min="2816" max="2816" width="12.28515625" bestFit="1" customWidth="1"/>
    <col min="2817" max="2817" width="11.28515625" customWidth="1"/>
    <col min="2818" max="2818" width="11.7109375" customWidth="1"/>
    <col min="2819" max="2819" width="11" customWidth="1"/>
    <col min="2820" max="2820" width="17" customWidth="1"/>
    <col min="2821" max="2821" width="11.28515625" bestFit="1" customWidth="1"/>
    <col min="2823" max="2823" width="14.5703125" customWidth="1"/>
    <col min="3067" max="3067" width="37.140625" customWidth="1"/>
    <col min="3068" max="3068" width="20.85546875" customWidth="1"/>
    <col min="3069" max="3069" width="23.85546875" customWidth="1"/>
    <col min="3070" max="3070" width="18.85546875" customWidth="1"/>
    <col min="3071" max="3071" width="16.5703125" customWidth="1"/>
    <col min="3072" max="3072" width="12.28515625" bestFit="1" customWidth="1"/>
    <col min="3073" max="3073" width="11.28515625" customWidth="1"/>
    <col min="3074" max="3074" width="11.7109375" customWidth="1"/>
    <col min="3075" max="3075" width="11" customWidth="1"/>
    <col min="3076" max="3076" width="17" customWidth="1"/>
    <col min="3077" max="3077" width="11.28515625" bestFit="1" customWidth="1"/>
    <col min="3079" max="3079" width="14.5703125" customWidth="1"/>
    <col min="3323" max="3323" width="37.140625" customWidth="1"/>
    <col min="3324" max="3324" width="20.85546875" customWidth="1"/>
    <col min="3325" max="3325" width="23.85546875" customWidth="1"/>
    <col min="3326" max="3326" width="18.85546875" customWidth="1"/>
    <col min="3327" max="3327" width="16.5703125" customWidth="1"/>
    <col min="3328" max="3328" width="12.28515625" bestFit="1" customWidth="1"/>
    <col min="3329" max="3329" width="11.28515625" customWidth="1"/>
    <col min="3330" max="3330" width="11.7109375" customWidth="1"/>
    <col min="3331" max="3331" width="11" customWidth="1"/>
    <col min="3332" max="3332" width="17" customWidth="1"/>
    <col min="3333" max="3333" width="11.28515625" bestFit="1" customWidth="1"/>
    <col min="3335" max="3335" width="14.5703125" customWidth="1"/>
    <col min="3579" max="3579" width="37.140625" customWidth="1"/>
    <col min="3580" max="3580" width="20.85546875" customWidth="1"/>
    <col min="3581" max="3581" width="23.85546875" customWidth="1"/>
    <col min="3582" max="3582" width="18.85546875" customWidth="1"/>
    <col min="3583" max="3583" width="16.5703125" customWidth="1"/>
    <col min="3584" max="3584" width="12.28515625" bestFit="1" customWidth="1"/>
    <col min="3585" max="3585" width="11.28515625" customWidth="1"/>
    <col min="3586" max="3586" width="11.7109375" customWidth="1"/>
    <col min="3587" max="3587" width="11" customWidth="1"/>
    <col min="3588" max="3588" width="17" customWidth="1"/>
    <col min="3589" max="3589" width="11.28515625" bestFit="1" customWidth="1"/>
    <col min="3591" max="3591" width="14.5703125" customWidth="1"/>
    <col min="3835" max="3835" width="37.140625" customWidth="1"/>
    <col min="3836" max="3836" width="20.85546875" customWidth="1"/>
    <col min="3837" max="3837" width="23.85546875" customWidth="1"/>
    <col min="3838" max="3838" width="18.85546875" customWidth="1"/>
    <col min="3839" max="3839" width="16.5703125" customWidth="1"/>
    <col min="3840" max="3840" width="12.28515625" bestFit="1" customWidth="1"/>
    <col min="3841" max="3841" width="11.28515625" customWidth="1"/>
    <col min="3842" max="3842" width="11.7109375" customWidth="1"/>
    <col min="3843" max="3843" width="11" customWidth="1"/>
    <col min="3844" max="3844" width="17" customWidth="1"/>
    <col min="3845" max="3845" width="11.28515625" bestFit="1" customWidth="1"/>
    <col min="3847" max="3847" width="14.5703125" customWidth="1"/>
    <col min="4091" max="4091" width="37.140625" customWidth="1"/>
    <col min="4092" max="4092" width="20.85546875" customWidth="1"/>
    <col min="4093" max="4093" width="23.85546875" customWidth="1"/>
    <col min="4094" max="4094" width="18.85546875" customWidth="1"/>
    <col min="4095" max="4095" width="16.5703125" customWidth="1"/>
    <col min="4096" max="4096" width="12.28515625" bestFit="1" customWidth="1"/>
    <col min="4097" max="4097" width="11.28515625" customWidth="1"/>
    <col min="4098" max="4098" width="11.7109375" customWidth="1"/>
    <col min="4099" max="4099" width="11" customWidth="1"/>
    <col min="4100" max="4100" width="17" customWidth="1"/>
    <col min="4101" max="4101" width="11.28515625" bestFit="1" customWidth="1"/>
    <col min="4103" max="4103" width="14.5703125" customWidth="1"/>
    <col min="4347" max="4347" width="37.140625" customWidth="1"/>
    <col min="4348" max="4348" width="20.85546875" customWidth="1"/>
    <col min="4349" max="4349" width="23.85546875" customWidth="1"/>
    <col min="4350" max="4350" width="18.85546875" customWidth="1"/>
    <col min="4351" max="4351" width="16.5703125" customWidth="1"/>
    <col min="4352" max="4352" width="12.28515625" bestFit="1" customWidth="1"/>
    <col min="4353" max="4353" width="11.28515625" customWidth="1"/>
    <col min="4354" max="4354" width="11.7109375" customWidth="1"/>
    <col min="4355" max="4355" width="11" customWidth="1"/>
    <col min="4356" max="4356" width="17" customWidth="1"/>
    <col min="4357" max="4357" width="11.28515625" bestFit="1" customWidth="1"/>
    <col min="4359" max="4359" width="14.5703125" customWidth="1"/>
    <col min="4603" max="4603" width="37.140625" customWidth="1"/>
    <col min="4604" max="4604" width="20.85546875" customWidth="1"/>
    <col min="4605" max="4605" width="23.85546875" customWidth="1"/>
    <col min="4606" max="4606" width="18.85546875" customWidth="1"/>
    <col min="4607" max="4607" width="16.5703125" customWidth="1"/>
    <col min="4608" max="4608" width="12.28515625" bestFit="1" customWidth="1"/>
    <col min="4609" max="4609" width="11.28515625" customWidth="1"/>
    <col min="4610" max="4610" width="11.7109375" customWidth="1"/>
    <col min="4611" max="4611" width="11" customWidth="1"/>
    <col min="4612" max="4612" width="17" customWidth="1"/>
    <col min="4613" max="4613" width="11.28515625" bestFit="1" customWidth="1"/>
    <col min="4615" max="4615" width="14.5703125" customWidth="1"/>
    <col min="4859" max="4859" width="37.140625" customWidth="1"/>
    <col min="4860" max="4860" width="20.85546875" customWidth="1"/>
    <col min="4861" max="4861" width="23.85546875" customWidth="1"/>
    <col min="4862" max="4862" width="18.85546875" customWidth="1"/>
    <col min="4863" max="4863" width="16.5703125" customWidth="1"/>
    <col min="4864" max="4864" width="12.28515625" bestFit="1" customWidth="1"/>
    <col min="4865" max="4865" width="11.28515625" customWidth="1"/>
    <col min="4866" max="4866" width="11.7109375" customWidth="1"/>
    <col min="4867" max="4867" width="11" customWidth="1"/>
    <col min="4868" max="4868" width="17" customWidth="1"/>
    <col min="4869" max="4869" width="11.28515625" bestFit="1" customWidth="1"/>
    <col min="4871" max="4871" width="14.5703125" customWidth="1"/>
    <col min="5115" max="5115" width="37.140625" customWidth="1"/>
    <col min="5116" max="5116" width="20.85546875" customWidth="1"/>
    <col min="5117" max="5117" width="23.85546875" customWidth="1"/>
    <col min="5118" max="5118" width="18.85546875" customWidth="1"/>
    <col min="5119" max="5119" width="16.5703125" customWidth="1"/>
    <col min="5120" max="5120" width="12.28515625" bestFit="1" customWidth="1"/>
    <col min="5121" max="5121" width="11.28515625" customWidth="1"/>
    <col min="5122" max="5122" width="11.7109375" customWidth="1"/>
    <col min="5123" max="5123" width="11" customWidth="1"/>
    <col min="5124" max="5124" width="17" customWidth="1"/>
    <col min="5125" max="5125" width="11.28515625" bestFit="1" customWidth="1"/>
    <col min="5127" max="5127" width="14.5703125" customWidth="1"/>
    <col min="5371" max="5371" width="37.140625" customWidth="1"/>
    <col min="5372" max="5372" width="20.85546875" customWidth="1"/>
    <col min="5373" max="5373" width="23.85546875" customWidth="1"/>
    <col min="5374" max="5374" width="18.85546875" customWidth="1"/>
    <col min="5375" max="5375" width="16.5703125" customWidth="1"/>
    <col min="5376" max="5376" width="12.28515625" bestFit="1" customWidth="1"/>
    <col min="5377" max="5377" width="11.28515625" customWidth="1"/>
    <col min="5378" max="5378" width="11.7109375" customWidth="1"/>
    <col min="5379" max="5379" width="11" customWidth="1"/>
    <col min="5380" max="5380" width="17" customWidth="1"/>
    <col min="5381" max="5381" width="11.28515625" bestFit="1" customWidth="1"/>
    <col min="5383" max="5383" width="14.5703125" customWidth="1"/>
    <col min="5627" max="5627" width="37.140625" customWidth="1"/>
    <col min="5628" max="5628" width="20.85546875" customWidth="1"/>
    <col min="5629" max="5629" width="23.85546875" customWidth="1"/>
    <col min="5630" max="5630" width="18.85546875" customWidth="1"/>
    <col min="5631" max="5631" width="16.5703125" customWidth="1"/>
    <col min="5632" max="5632" width="12.28515625" bestFit="1" customWidth="1"/>
    <col min="5633" max="5633" width="11.28515625" customWidth="1"/>
    <col min="5634" max="5634" width="11.7109375" customWidth="1"/>
    <col min="5635" max="5635" width="11" customWidth="1"/>
    <col min="5636" max="5636" width="17" customWidth="1"/>
    <col min="5637" max="5637" width="11.28515625" bestFit="1" customWidth="1"/>
    <col min="5639" max="5639" width="14.5703125" customWidth="1"/>
    <col min="5883" max="5883" width="37.140625" customWidth="1"/>
    <col min="5884" max="5884" width="20.85546875" customWidth="1"/>
    <col min="5885" max="5885" width="23.85546875" customWidth="1"/>
    <col min="5886" max="5886" width="18.85546875" customWidth="1"/>
    <col min="5887" max="5887" width="16.5703125" customWidth="1"/>
    <col min="5888" max="5888" width="12.28515625" bestFit="1" customWidth="1"/>
    <col min="5889" max="5889" width="11.28515625" customWidth="1"/>
    <col min="5890" max="5890" width="11.7109375" customWidth="1"/>
    <col min="5891" max="5891" width="11" customWidth="1"/>
    <col min="5892" max="5892" width="17" customWidth="1"/>
    <col min="5893" max="5893" width="11.28515625" bestFit="1" customWidth="1"/>
    <col min="5895" max="5895" width="14.5703125" customWidth="1"/>
    <col min="6139" max="6139" width="37.140625" customWidth="1"/>
    <col min="6140" max="6140" width="20.85546875" customWidth="1"/>
    <col min="6141" max="6141" width="23.85546875" customWidth="1"/>
    <col min="6142" max="6142" width="18.85546875" customWidth="1"/>
    <col min="6143" max="6143" width="16.5703125" customWidth="1"/>
    <col min="6144" max="6144" width="12.28515625" bestFit="1" customWidth="1"/>
    <col min="6145" max="6145" width="11.28515625" customWidth="1"/>
    <col min="6146" max="6146" width="11.7109375" customWidth="1"/>
    <col min="6147" max="6147" width="11" customWidth="1"/>
    <col min="6148" max="6148" width="17" customWidth="1"/>
    <col min="6149" max="6149" width="11.28515625" bestFit="1" customWidth="1"/>
    <col min="6151" max="6151" width="14.5703125" customWidth="1"/>
    <col min="6395" max="6395" width="37.140625" customWidth="1"/>
    <col min="6396" max="6396" width="20.85546875" customWidth="1"/>
    <col min="6397" max="6397" width="23.85546875" customWidth="1"/>
    <col min="6398" max="6398" width="18.85546875" customWidth="1"/>
    <col min="6399" max="6399" width="16.5703125" customWidth="1"/>
    <col min="6400" max="6400" width="12.28515625" bestFit="1" customWidth="1"/>
    <col min="6401" max="6401" width="11.28515625" customWidth="1"/>
    <col min="6402" max="6402" width="11.7109375" customWidth="1"/>
    <col min="6403" max="6403" width="11" customWidth="1"/>
    <col min="6404" max="6404" width="17" customWidth="1"/>
    <col min="6405" max="6405" width="11.28515625" bestFit="1" customWidth="1"/>
    <col min="6407" max="6407" width="14.5703125" customWidth="1"/>
    <col min="6651" max="6651" width="37.140625" customWidth="1"/>
    <col min="6652" max="6652" width="20.85546875" customWidth="1"/>
    <col min="6653" max="6653" width="23.85546875" customWidth="1"/>
    <col min="6654" max="6654" width="18.85546875" customWidth="1"/>
    <col min="6655" max="6655" width="16.5703125" customWidth="1"/>
    <col min="6656" max="6656" width="12.28515625" bestFit="1" customWidth="1"/>
    <col min="6657" max="6657" width="11.28515625" customWidth="1"/>
    <col min="6658" max="6658" width="11.7109375" customWidth="1"/>
    <col min="6659" max="6659" width="11" customWidth="1"/>
    <col min="6660" max="6660" width="17" customWidth="1"/>
    <col min="6661" max="6661" width="11.28515625" bestFit="1" customWidth="1"/>
    <col min="6663" max="6663" width="14.5703125" customWidth="1"/>
    <col min="6907" max="6907" width="37.140625" customWidth="1"/>
    <col min="6908" max="6908" width="20.85546875" customWidth="1"/>
    <col min="6909" max="6909" width="23.85546875" customWidth="1"/>
    <col min="6910" max="6910" width="18.85546875" customWidth="1"/>
    <col min="6911" max="6911" width="16.5703125" customWidth="1"/>
    <col min="6912" max="6912" width="12.28515625" bestFit="1" customWidth="1"/>
    <col min="6913" max="6913" width="11.28515625" customWidth="1"/>
    <col min="6914" max="6914" width="11.7109375" customWidth="1"/>
    <col min="6915" max="6915" width="11" customWidth="1"/>
    <col min="6916" max="6916" width="17" customWidth="1"/>
    <col min="6917" max="6917" width="11.28515625" bestFit="1" customWidth="1"/>
    <col min="6919" max="6919" width="14.5703125" customWidth="1"/>
    <col min="7163" max="7163" width="37.140625" customWidth="1"/>
    <col min="7164" max="7164" width="20.85546875" customWidth="1"/>
    <col min="7165" max="7165" width="23.85546875" customWidth="1"/>
    <col min="7166" max="7166" width="18.85546875" customWidth="1"/>
    <col min="7167" max="7167" width="16.5703125" customWidth="1"/>
    <col min="7168" max="7168" width="12.28515625" bestFit="1" customWidth="1"/>
    <col min="7169" max="7169" width="11.28515625" customWidth="1"/>
    <col min="7170" max="7170" width="11.7109375" customWidth="1"/>
    <col min="7171" max="7171" width="11" customWidth="1"/>
    <col min="7172" max="7172" width="17" customWidth="1"/>
    <col min="7173" max="7173" width="11.28515625" bestFit="1" customWidth="1"/>
    <col min="7175" max="7175" width="14.5703125" customWidth="1"/>
    <col min="7419" max="7419" width="37.140625" customWidth="1"/>
    <col min="7420" max="7420" width="20.85546875" customWidth="1"/>
    <col min="7421" max="7421" width="23.85546875" customWidth="1"/>
    <col min="7422" max="7422" width="18.85546875" customWidth="1"/>
    <col min="7423" max="7423" width="16.5703125" customWidth="1"/>
    <col min="7424" max="7424" width="12.28515625" bestFit="1" customWidth="1"/>
    <col min="7425" max="7425" width="11.28515625" customWidth="1"/>
    <col min="7426" max="7426" width="11.7109375" customWidth="1"/>
    <col min="7427" max="7427" width="11" customWidth="1"/>
    <col min="7428" max="7428" width="17" customWidth="1"/>
    <col min="7429" max="7429" width="11.28515625" bestFit="1" customWidth="1"/>
    <col min="7431" max="7431" width="14.5703125" customWidth="1"/>
    <col min="7675" max="7675" width="37.140625" customWidth="1"/>
    <col min="7676" max="7676" width="20.85546875" customWidth="1"/>
    <col min="7677" max="7677" width="23.85546875" customWidth="1"/>
    <col min="7678" max="7678" width="18.85546875" customWidth="1"/>
    <col min="7679" max="7679" width="16.5703125" customWidth="1"/>
    <col min="7680" max="7680" width="12.28515625" bestFit="1" customWidth="1"/>
    <col min="7681" max="7681" width="11.28515625" customWidth="1"/>
    <col min="7682" max="7682" width="11.7109375" customWidth="1"/>
    <col min="7683" max="7683" width="11" customWidth="1"/>
    <col min="7684" max="7684" width="17" customWidth="1"/>
    <col min="7685" max="7685" width="11.28515625" bestFit="1" customWidth="1"/>
    <col min="7687" max="7687" width="14.5703125" customWidth="1"/>
    <col min="7931" max="7931" width="37.140625" customWidth="1"/>
    <col min="7932" max="7932" width="20.85546875" customWidth="1"/>
    <col min="7933" max="7933" width="23.85546875" customWidth="1"/>
    <col min="7934" max="7934" width="18.85546875" customWidth="1"/>
    <col min="7935" max="7935" width="16.5703125" customWidth="1"/>
    <col min="7936" max="7936" width="12.28515625" bestFit="1" customWidth="1"/>
    <col min="7937" max="7937" width="11.28515625" customWidth="1"/>
    <col min="7938" max="7938" width="11.7109375" customWidth="1"/>
    <col min="7939" max="7939" width="11" customWidth="1"/>
    <col min="7940" max="7940" width="17" customWidth="1"/>
    <col min="7941" max="7941" width="11.28515625" bestFit="1" customWidth="1"/>
    <col min="7943" max="7943" width="14.5703125" customWidth="1"/>
    <col min="8187" max="8187" width="37.140625" customWidth="1"/>
    <col min="8188" max="8188" width="20.85546875" customWidth="1"/>
    <col min="8189" max="8189" width="23.85546875" customWidth="1"/>
    <col min="8190" max="8190" width="18.85546875" customWidth="1"/>
    <col min="8191" max="8191" width="16.5703125" customWidth="1"/>
    <col min="8192" max="8192" width="12.28515625" bestFit="1" customWidth="1"/>
    <col min="8193" max="8193" width="11.28515625" customWidth="1"/>
    <col min="8194" max="8194" width="11.7109375" customWidth="1"/>
    <col min="8195" max="8195" width="11" customWidth="1"/>
    <col min="8196" max="8196" width="17" customWidth="1"/>
    <col min="8197" max="8197" width="11.28515625" bestFit="1" customWidth="1"/>
    <col min="8199" max="8199" width="14.5703125" customWidth="1"/>
    <col min="8443" max="8443" width="37.140625" customWidth="1"/>
    <col min="8444" max="8444" width="20.85546875" customWidth="1"/>
    <col min="8445" max="8445" width="23.85546875" customWidth="1"/>
    <col min="8446" max="8446" width="18.85546875" customWidth="1"/>
    <col min="8447" max="8447" width="16.5703125" customWidth="1"/>
    <col min="8448" max="8448" width="12.28515625" bestFit="1" customWidth="1"/>
    <col min="8449" max="8449" width="11.28515625" customWidth="1"/>
    <col min="8450" max="8450" width="11.7109375" customWidth="1"/>
    <col min="8451" max="8451" width="11" customWidth="1"/>
    <col min="8452" max="8452" width="17" customWidth="1"/>
    <col min="8453" max="8453" width="11.28515625" bestFit="1" customWidth="1"/>
    <col min="8455" max="8455" width="14.5703125" customWidth="1"/>
    <col min="8699" max="8699" width="37.140625" customWidth="1"/>
    <col min="8700" max="8700" width="20.85546875" customWidth="1"/>
    <col min="8701" max="8701" width="23.85546875" customWidth="1"/>
    <col min="8702" max="8702" width="18.85546875" customWidth="1"/>
    <col min="8703" max="8703" width="16.5703125" customWidth="1"/>
    <col min="8704" max="8704" width="12.28515625" bestFit="1" customWidth="1"/>
    <col min="8705" max="8705" width="11.28515625" customWidth="1"/>
    <col min="8706" max="8706" width="11.7109375" customWidth="1"/>
    <col min="8707" max="8707" width="11" customWidth="1"/>
    <col min="8708" max="8708" width="17" customWidth="1"/>
    <col min="8709" max="8709" width="11.28515625" bestFit="1" customWidth="1"/>
    <col min="8711" max="8711" width="14.5703125" customWidth="1"/>
    <col min="8955" max="8955" width="37.140625" customWidth="1"/>
    <col min="8956" max="8956" width="20.85546875" customWidth="1"/>
    <col min="8957" max="8957" width="23.85546875" customWidth="1"/>
    <col min="8958" max="8958" width="18.85546875" customWidth="1"/>
    <col min="8959" max="8959" width="16.5703125" customWidth="1"/>
    <col min="8960" max="8960" width="12.28515625" bestFit="1" customWidth="1"/>
    <col min="8961" max="8961" width="11.28515625" customWidth="1"/>
    <col min="8962" max="8962" width="11.7109375" customWidth="1"/>
    <col min="8963" max="8963" width="11" customWidth="1"/>
    <col min="8964" max="8964" width="17" customWidth="1"/>
    <col min="8965" max="8965" width="11.28515625" bestFit="1" customWidth="1"/>
    <col min="8967" max="8967" width="14.5703125" customWidth="1"/>
    <col min="9211" max="9211" width="37.140625" customWidth="1"/>
    <col min="9212" max="9212" width="20.85546875" customWidth="1"/>
    <col min="9213" max="9213" width="23.85546875" customWidth="1"/>
    <col min="9214" max="9214" width="18.85546875" customWidth="1"/>
    <col min="9215" max="9215" width="16.5703125" customWidth="1"/>
    <col min="9216" max="9216" width="12.28515625" bestFit="1" customWidth="1"/>
    <col min="9217" max="9217" width="11.28515625" customWidth="1"/>
    <col min="9218" max="9218" width="11.7109375" customWidth="1"/>
    <col min="9219" max="9219" width="11" customWidth="1"/>
    <col min="9220" max="9220" width="17" customWidth="1"/>
    <col min="9221" max="9221" width="11.28515625" bestFit="1" customWidth="1"/>
    <col min="9223" max="9223" width="14.5703125" customWidth="1"/>
    <col min="9467" max="9467" width="37.140625" customWidth="1"/>
    <col min="9468" max="9468" width="20.85546875" customWidth="1"/>
    <col min="9469" max="9469" width="23.85546875" customWidth="1"/>
    <col min="9470" max="9470" width="18.85546875" customWidth="1"/>
    <col min="9471" max="9471" width="16.5703125" customWidth="1"/>
    <col min="9472" max="9472" width="12.28515625" bestFit="1" customWidth="1"/>
    <col min="9473" max="9473" width="11.28515625" customWidth="1"/>
    <col min="9474" max="9474" width="11.7109375" customWidth="1"/>
    <col min="9475" max="9475" width="11" customWidth="1"/>
    <col min="9476" max="9476" width="17" customWidth="1"/>
    <col min="9477" max="9477" width="11.28515625" bestFit="1" customWidth="1"/>
    <col min="9479" max="9479" width="14.5703125" customWidth="1"/>
    <col min="9723" max="9723" width="37.140625" customWidth="1"/>
    <col min="9724" max="9724" width="20.85546875" customWidth="1"/>
    <col min="9725" max="9725" width="23.85546875" customWidth="1"/>
    <col min="9726" max="9726" width="18.85546875" customWidth="1"/>
    <col min="9727" max="9727" width="16.5703125" customWidth="1"/>
    <col min="9728" max="9728" width="12.28515625" bestFit="1" customWidth="1"/>
    <col min="9729" max="9729" width="11.28515625" customWidth="1"/>
    <col min="9730" max="9730" width="11.7109375" customWidth="1"/>
    <col min="9731" max="9731" width="11" customWidth="1"/>
    <col min="9732" max="9732" width="17" customWidth="1"/>
    <col min="9733" max="9733" width="11.28515625" bestFit="1" customWidth="1"/>
    <col min="9735" max="9735" width="14.5703125" customWidth="1"/>
    <col min="9979" max="9979" width="37.140625" customWidth="1"/>
    <col min="9980" max="9980" width="20.85546875" customWidth="1"/>
    <col min="9981" max="9981" width="23.85546875" customWidth="1"/>
    <col min="9982" max="9982" width="18.85546875" customWidth="1"/>
    <col min="9983" max="9983" width="16.5703125" customWidth="1"/>
    <col min="9984" max="9984" width="12.28515625" bestFit="1" customWidth="1"/>
    <col min="9985" max="9985" width="11.28515625" customWidth="1"/>
    <col min="9986" max="9986" width="11.7109375" customWidth="1"/>
    <col min="9987" max="9987" width="11" customWidth="1"/>
    <col min="9988" max="9988" width="17" customWidth="1"/>
    <col min="9989" max="9989" width="11.28515625" bestFit="1" customWidth="1"/>
    <col min="9991" max="9991" width="14.5703125" customWidth="1"/>
    <col min="10235" max="10235" width="37.140625" customWidth="1"/>
    <col min="10236" max="10236" width="20.85546875" customWidth="1"/>
    <col min="10237" max="10237" width="23.85546875" customWidth="1"/>
    <col min="10238" max="10238" width="18.85546875" customWidth="1"/>
    <col min="10239" max="10239" width="16.5703125" customWidth="1"/>
    <col min="10240" max="10240" width="12.28515625" bestFit="1" customWidth="1"/>
    <col min="10241" max="10241" width="11.28515625" customWidth="1"/>
    <col min="10242" max="10242" width="11.7109375" customWidth="1"/>
    <col min="10243" max="10243" width="11" customWidth="1"/>
    <col min="10244" max="10244" width="17" customWidth="1"/>
    <col min="10245" max="10245" width="11.28515625" bestFit="1" customWidth="1"/>
    <col min="10247" max="10247" width="14.5703125" customWidth="1"/>
    <col min="10491" max="10491" width="37.140625" customWidth="1"/>
    <col min="10492" max="10492" width="20.85546875" customWidth="1"/>
    <col min="10493" max="10493" width="23.85546875" customWidth="1"/>
    <col min="10494" max="10494" width="18.85546875" customWidth="1"/>
    <col min="10495" max="10495" width="16.5703125" customWidth="1"/>
    <col min="10496" max="10496" width="12.28515625" bestFit="1" customWidth="1"/>
    <col min="10497" max="10497" width="11.28515625" customWidth="1"/>
    <col min="10498" max="10498" width="11.7109375" customWidth="1"/>
    <col min="10499" max="10499" width="11" customWidth="1"/>
    <col min="10500" max="10500" width="17" customWidth="1"/>
    <col min="10501" max="10501" width="11.28515625" bestFit="1" customWidth="1"/>
    <col min="10503" max="10503" width="14.5703125" customWidth="1"/>
    <col min="10747" max="10747" width="37.140625" customWidth="1"/>
    <col min="10748" max="10748" width="20.85546875" customWidth="1"/>
    <col min="10749" max="10749" width="23.85546875" customWidth="1"/>
    <col min="10750" max="10750" width="18.85546875" customWidth="1"/>
    <col min="10751" max="10751" width="16.5703125" customWidth="1"/>
    <col min="10752" max="10752" width="12.28515625" bestFit="1" customWidth="1"/>
    <col min="10753" max="10753" width="11.28515625" customWidth="1"/>
    <col min="10754" max="10754" width="11.7109375" customWidth="1"/>
    <col min="10755" max="10755" width="11" customWidth="1"/>
    <col min="10756" max="10756" width="17" customWidth="1"/>
    <col min="10757" max="10757" width="11.28515625" bestFit="1" customWidth="1"/>
    <col min="10759" max="10759" width="14.5703125" customWidth="1"/>
    <col min="11003" max="11003" width="37.140625" customWidth="1"/>
    <col min="11004" max="11004" width="20.85546875" customWidth="1"/>
    <col min="11005" max="11005" width="23.85546875" customWidth="1"/>
    <col min="11006" max="11006" width="18.85546875" customWidth="1"/>
    <col min="11007" max="11007" width="16.5703125" customWidth="1"/>
    <col min="11008" max="11008" width="12.28515625" bestFit="1" customWidth="1"/>
    <col min="11009" max="11009" width="11.28515625" customWidth="1"/>
    <col min="11010" max="11010" width="11.7109375" customWidth="1"/>
    <col min="11011" max="11011" width="11" customWidth="1"/>
    <col min="11012" max="11012" width="17" customWidth="1"/>
    <col min="11013" max="11013" width="11.28515625" bestFit="1" customWidth="1"/>
    <col min="11015" max="11015" width="14.5703125" customWidth="1"/>
    <col min="11259" max="11259" width="37.140625" customWidth="1"/>
    <col min="11260" max="11260" width="20.85546875" customWidth="1"/>
    <col min="11261" max="11261" width="23.85546875" customWidth="1"/>
    <col min="11262" max="11262" width="18.85546875" customWidth="1"/>
    <col min="11263" max="11263" width="16.5703125" customWidth="1"/>
    <col min="11264" max="11264" width="12.28515625" bestFit="1" customWidth="1"/>
    <col min="11265" max="11265" width="11.28515625" customWidth="1"/>
    <col min="11266" max="11266" width="11.7109375" customWidth="1"/>
    <col min="11267" max="11267" width="11" customWidth="1"/>
    <col min="11268" max="11268" width="17" customWidth="1"/>
    <col min="11269" max="11269" width="11.28515625" bestFit="1" customWidth="1"/>
    <col min="11271" max="11271" width="14.5703125" customWidth="1"/>
    <col min="11515" max="11515" width="37.140625" customWidth="1"/>
    <col min="11516" max="11516" width="20.85546875" customWidth="1"/>
    <col min="11517" max="11517" width="23.85546875" customWidth="1"/>
    <col min="11518" max="11518" width="18.85546875" customWidth="1"/>
    <col min="11519" max="11519" width="16.5703125" customWidth="1"/>
    <col min="11520" max="11520" width="12.28515625" bestFit="1" customWidth="1"/>
    <col min="11521" max="11521" width="11.28515625" customWidth="1"/>
    <col min="11522" max="11522" width="11.7109375" customWidth="1"/>
    <col min="11523" max="11523" width="11" customWidth="1"/>
    <col min="11524" max="11524" width="17" customWidth="1"/>
    <col min="11525" max="11525" width="11.28515625" bestFit="1" customWidth="1"/>
    <col min="11527" max="11527" width="14.5703125" customWidth="1"/>
    <col min="11771" max="11771" width="37.140625" customWidth="1"/>
    <col min="11772" max="11772" width="20.85546875" customWidth="1"/>
    <col min="11773" max="11773" width="23.85546875" customWidth="1"/>
    <col min="11774" max="11774" width="18.85546875" customWidth="1"/>
    <col min="11775" max="11775" width="16.5703125" customWidth="1"/>
    <col min="11776" max="11776" width="12.28515625" bestFit="1" customWidth="1"/>
    <col min="11777" max="11777" width="11.28515625" customWidth="1"/>
    <col min="11778" max="11778" width="11.7109375" customWidth="1"/>
    <col min="11779" max="11779" width="11" customWidth="1"/>
    <col min="11780" max="11780" width="17" customWidth="1"/>
    <col min="11781" max="11781" width="11.28515625" bestFit="1" customWidth="1"/>
    <col min="11783" max="11783" width="14.5703125" customWidth="1"/>
    <col min="12027" max="12027" width="37.140625" customWidth="1"/>
    <col min="12028" max="12028" width="20.85546875" customWidth="1"/>
    <col min="12029" max="12029" width="23.85546875" customWidth="1"/>
    <col min="12030" max="12030" width="18.85546875" customWidth="1"/>
    <col min="12031" max="12031" width="16.5703125" customWidth="1"/>
    <col min="12032" max="12032" width="12.28515625" bestFit="1" customWidth="1"/>
    <col min="12033" max="12033" width="11.28515625" customWidth="1"/>
    <col min="12034" max="12034" width="11.7109375" customWidth="1"/>
    <col min="12035" max="12035" width="11" customWidth="1"/>
    <col min="12036" max="12036" width="17" customWidth="1"/>
    <col min="12037" max="12037" width="11.28515625" bestFit="1" customWidth="1"/>
    <col min="12039" max="12039" width="14.5703125" customWidth="1"/>
    <col min="12283" max="12283" width="37.140625" customWidth="1"/>
    <col min="12284" max="12284" width="20.85546875" customWidth="1"/>
    <col min="12285" max="12285" width="23.85546875" customWidth="1"/>
    <col min="12286" max="12286" width="18.85546875" customWidth="1"/>
    <col min="12287" max="12287" width="16.5703125" customWidth="1"/>
    <col min="12288" max="12288" width="12.28515625" bestFit="1" customWidth="1"/>
    <col min="12289" max="12289" width="11.28515625" customWidth="1"/>
    <col min="12290" max="12290" width="11.7109375" customWidth="1"/>
    <col min="12291" max="12291" width="11" customWidth="1"/>
    <col min="12292" max="12292" width="17" customWidth="1"/>
    <col min="12293" max="12293" width="11.28515625" bestFit="1" customWidth="1"/>
    <col min="12295" max="12295" width="14.5703125" customWidth="1"/>
    <col min="12539" max="12539" width="37.140625" customWidth="1"/>
    <col min="12540" max="12540" width="20.85546875" customWidth="1"/>
    <col min="12541" max="12541" width="23.85546875" customWidth="1"/>
    <col min="12542" max="12542" width="18.85546875" customWidth="1"/>
    <col min="12543" max="12543" width="16.5703125" customWidth="1"/>
    <col min="12544" max="12544" width="12.28515625" bestFit="1" customWidth="1"/>
    <col min="12545" max="12545" width="11.28515625" customWidth="1"/>
    <col min="12546" max="12546" width="11.7109375" customWidth="1"/>
    <col min="12547" max="12547" width="11" customWidth="1"/>
    <col min="12548" max="12548" width="17" customWidth="1"/>
    <col min="12549" max="12549" width="11.28515625" bestFit="1" customWidth="1"/>
    <col min="12551" max="12551" width="14.5703125" customWidth="1"/>
    <col min="12795" max="12795" width="37.140625" customWidth="1"/>
    <col min="12796" max="12796" width="20.85546875" customWidth="1"/>
    <col min="12797" max="12797" width="23.85546875" customWidth="1"/>
    <col min="12798" max="12798" width="18.85546875" customWidth="1"/>
    <col min="12799" max="12799" width="16.5703125" customWidth="1"/>
    <col min="12800" max="12800" width="12.28515625" bestFit="1" customWidth="1"/>
    <col min="12801" max="12801" width="11.28515625" customWidth="1"/>
    <col min="12802" max="12802" width="11.7109375" customWidth="1"/>
    <col min="12803" max="12803" width="11" customWidth="1"/>
    <col min="12804" max="12804" width="17" customWidth="1"/>
    <col min="12805" max="12805" width="11.28515625" bestFit="1" customWidth="1"/>
    <col min="12807" max="12807" width="14.5703125" customWidth="1"/>
    <col min="13051" max="13051" width="37.140625" customWidth="1"/>
    <col min="13052" max="13052" width="20.85546875" customWidth="1"/>
    <col min="13053" max="13053" width="23.85546875" customWidth="1"/>
    <col min="13054" max="13054" width="18.85546875" customWidth="1"/>
    <col min="13055" max="13055" width="16.5703125" customWidth="1"/>
    <col min="13056" max="13056" width="12.28515625" bestFit="1" customWidth="1"/>
    <col min="13057" max="13057" width="11.28515625" customWidth="1"/>
    <col min="13058" max="13058" width="11.7109375" customWidth="1"/>
    <col min="13059" max="13059" width="11" customWidth="1"/>
    <col min="13060" max="13060" width="17" customWidth="1"/>
    <col min="13061" max="13061" width="11.28515625" bestFit="1" customWidth="1"/>
    <col min="13063" max="13063" width="14.5703125" customWidth="1"/>
    <col min="13307" max="13307" width="37.140625" customWidth="1"/>
    <col min="13308" max="13308" width="20.85546875" customWidth="1"/>
    <col min="13309" max="13309" width="23.85546875" customWidth="1"/>
    <col min="13310" max="13310" width="18.85546875" customWidth="1"/>
    <col min="13311" max="13311" width="16.5703125" customWidth="1"/>
    <col min="13312" max="13312" width="12.28515625" bestFit="1" customWidth="1"/>
    <col min="13313" max="13313" width="11.28515625" customWidth="1"/>
    <col min="13314" max="13314" width="11.7109375" customWidth="1"/>
    <col min="13315" max="13315" width="11" customWidth="1"/>
    <col min="13316" max="13316" width="17" customWidth="1"/>
    <col min="13317" max="13317" width="11.28515625" bestFit="1" customWidth="1"/>
    <col min="13319" max="13319" width="14.5703125" customWidth="1"/>
    <col min="13563" max="13563" width="37.140625" customWidth="1"/>
    <col min="13564" max="13564" width="20.85546875" customWidth="1"/>
    <col min="13565" max="13565" width="23.85546875" customWidth="1"/>
    <col min="13566" max="13566" width="18.85546875" customWidth="1"/>
    <col min="13567" max="13567" width="16.5703125" customWidth="1"/>
    <col min="13568" max="13568" width="12.28515625" bestFit="1" customWidth="1"/>
    <col min="13569" max="13569" width="11.28515625" customWidth="1"/>
    <col min="13570" max="13570" width="11.7109375" customWidth="1"/>
    <col min="13571" max="13571" width="11" customWidth="1"/>
    <col min="13572" max="13572" width="17" customWidth="1"/>
    <col min="13573" max="13573" width="11.28515625" bestFit="1" customWidth="1"/>
    <col min="13575" max="13575" width="14.5703125" customWidth="1"/>
    <col min="13819" max="13819" width="37.140625" customWidth="1"/>
    <col min="13820" max="13820" width="20.85546875" customWidth="1"/>
    <col min="13821" max="13821" width="23.85546875" customWidth="1"/>
    <col min="13822" max="13822" width="18.85546875" customWidth="1"/>
    <col min="13823" max="13823" width="16.5703125" customWidth="1"/>
    <col min="13824" max="13824" width="12.28515625" bestFit="1" customWidth="1"/>
    <col min="13825" max="13825" width="11.28515625" customWidth="1"/>
    <col min="13826" max="13826" width="11.7109375" customWidth="1"/>
    <col min="13827" max="13827" width="11" customWidth="1"/>
    <col min="13828" max="13828" width="17" customWidth="1"/>
    <col min="13829" max="13829" width="11.28515625" bestFit="1" customWidth="1"/>
    <col min="13831" max="13831" width="14.5703125" customWidth="1"/>
    <col min="14075" max="14075" width="37.140625" customWidth="1"/>
    <col min="14076" max="14076" width="20.85546875" customWidth="1"/>
    <col min="14077" max="14077" width="23.85546875" customWidth="1"/>
    <col min="14078" max="14078" width="18.85546875" customWidth="1"/>
    <col min="14079" max="14079" width="16.5703125" customWidth="1"/>
    <col min="14080" max="14080" width="12.28515625" bestFit="1" customWidth="1"/>
    <col min="14081" max="14081" width="11.28515625" customWidth="1"/>
    <col min="14082" max="14082" width="11.7109375" customWidth="1"/>
    <col min="14083" max="14083" width="11" customWidth="1"/>
    <col min="14084" max="14084" width="17" customWidth="1"/>
    <col min="14085" max="14085" width="11.28515625" bestFit="1" customWidth="1"/>
    <col min="14087" max="14087" width="14.5703125" customWidth="1"/>
    <col min="14331" max="14331" width="37.140625" customWidth="1"/>
    <col min="14332" max="14332" width="20.85546875" customWidth="1"/>
    <col min="14333" max="14333" width="23.85546875" customWidth="1"/>
    <col min="14334" max="14334" width="18.85546875" customWidth="1"/>
    <col min="14335" max="14335" width="16.5703125" customWidth="1"/>
    <col min="14336" max="14336" width="12.28515625" bestFit="1" customWidth="1"/>
    <col min="14337" max="14337" width="11.28515625" customWidth="1"/>
    <col min="14338" max="14338" width="11.7109375" customWidth="1"/>
    <col min="14339" max="14339" width="11" customWidth="1"/>
    <col min="14340" max="14340" width="17" customWidth="1"/>
    <col min="14341" max="14341" width="11.28515625" bestFit="1" customWidth="1"/>
    <col min="14343" max="14343" width="14.5703125" customWidth="1"/>
    <col min="14587" max="14587" width="37.140625" customWidth="1"/>
    <col min="14588" max="14588" width="20.85546875" customWidth="1"/>
    <col min="14589" max="14589" width="23.85546875" customWidth="1"/>
    <col min="14590" max="14590" width="18.85546875" customWidth="1"/>
    <col min="14591" max="14591" width="16.5703125" customWidth="1"/>
    <col min="14592" max="14592" width="12.28515625" bestFit="1" customWidth="1"/>
    <col min="14593" max="14593" width="11.28515625" customWidth="1"/>
    <col min="14594" max="14594" width="11.7109375" customWidth="1"/>
    <col min="14595" max="14595" width="11" customWidth="1"/>
    <col min="14596" max="14596" width="17" customWidth="1"/>
    <col min="14597" max="14597" width="11.28515625" bestFit="1" customWidth="1"/>
    <col min="14599" max="14599" width="14.5703125" customWidth="1"/>
    <col min="14843" max="14843" width="37.140625" customWidth="1"/>
    <col min="14844" max="14844" width="20.85546875" customWidth="1"/>
    <col min="14845" max="14845" width="23.85546875" customWidth="1"/>
    <col min="14846" max="14846" width="18.85546875" customWidth="1"/>
    <col min="14847" max="14847" width="16.5703125" customWidth="1"/>
    <col min="14848" max="14848" width="12.28515625" bestFit="1" customWidth="1"/>
    <col min="14849" max="14849" width="11.28515625" customWidth="1"/>
    <col min="14850" max="14850" width="11.7109375" customWidth="1"/>
    <col min="14851" max="14851" width="11" customWidth="1"/>
    <col min="14852" max="14852" width="17" customWidth="1"/>
    <col min="14853" max="14853" width="11.28515625" bestFit="1" customWidth="1"/>
    <col min="14855" max="14855" width="14.5703125" customWidth="1"/>
    <col min="15099" max="15099" width="37.140625" customWidth="1"/>
    <col min="15100" max="15100" width="20.85546875" customWidth="1"/>
    <col min="15101" max="15101" width="23.85546875" customWidth="1"/>
    <col min="15102" max="15102" width="18.85546875" customWidth="1"/>
    <col min="15103" max="15103" width="16.5703125" customWidth="1"/>
    <col min="15104" max="15104" width="12.28515625" bestFit="1" customWidth="1"/>
    <col min="15105" max="15105" width="11.28515625" customWidth="1"/>
    <col min="15106" max="15106" width="11.7109375" customWidth="1"/>
    <col min="15107" max="15107" width="11" customWidth="1"/>
    <col min="15108" max="15108" width="17" customWidth="1"/>
    <col min="15109" max="15109" width="11.28515625" bestFit="1" customWidth="1"/>
    <col min="15111" max="15111" width="14.5703125" customWidth="1"/>
    <col min="15355" max="15355" width="37.140625" customWidth="1"/>
    <col min="15356" max="15356" width="20.85546875" customWidth="1"/>
    <col min="15357" max="15357" width="23.85546875" customWidth="1"/>
    <col min="15358" max="15358" width="18.85546875" customWidth="1"/>
    <col min="15359" max="15359" width="16.5703125" customWidth="1"/>
    <col min="15360" max="15360" width="12.28515625" bestFit="1" customWidth="1"/>
    <col min="15361" max="15361" width="11.28515625" customWidth="1"/>
    <col min="15362" max="15362" width="11.7109375" customWidth="1"/>
    <col min="15363" max="15363" width="11" customWidth="1"/>
    <col min="15364" max="15364" width="17" customWidth="1"/>
    <col min="15365" max="15365" width="11.28515625" bestFit="1" customWidth="1"/>
    <col min="15367" max="15367" width="14.5703125" customWidth="1"/>
    <col min="15611" max="15611" width="37.140625" customWidth="1"/>
    <col min="15612" max="15612" width="20.85546875" customWidth="1"/>
    <col min="15613" max="15613" width="23.85546875" customWidth="1"/>
    <col min="15614" max="15614" width="18.85546875" customWidth="1"/>
    <col min="15615" max="15615" width="16.5703125" customWidth="1"/>
    <col min="15616" max="15616" width="12.28515625" bestFit="1" customWidth="1"/>
    <col min="15617" max="15617" width="11.28515625" customWidth="1"/>
    <col min="15618" max="15618" width="11.7109375" customWidth="1"/>
    <col min="15619" max="15619" width="11" customWidth="1"/>
    <col min="15620" max="15620" width="17" customWidth="1"/>
    <col min="15621" max="15621" width="11.28515625" bestFit="1" customWidth="1"/>
    <col min="15623" max="15623" width="14.5703125" customWidth="1"/>
    <col min="15867" max="15867" width="37.140625" customWidth="1"/>
    <col min="15868" max="15868" width="20.85546875" customWidth="1"/>
    <col min="15869" max="15869" width="23.85546875" customWidth="1"/>
    <col min="15870" max="15870" width="18.85546875" customWidth="1"/>
    <col min="15871" max="15871" width="16.5703125" customWidth="1"/>
    <col min="15872" max="15872" width="12.28515625" bestFit="1" customWidth="1"/>
    <col min="15873" max="15873" width="11.28515625" customWidth="1"/>
    <col min="15874" max="15874" width="11.7109375" customWidth="1"/>
    <col min="15875" max="15875" width="11" customWidth="1"/>
    <col min="15876" max="15876" width="17" customWidth="1"/>
    <col min="15877" max="15877" width="11.28515625" bestFit="1" customWidth="1"/>
    <col min="15879" max="15879" width="14.5703125" customWidth="1"/>
    <col min="16123" max="16123" width="37.140625" customWidth="1"/>
    <col min="16124" max="16124" width="20.85546875" customWidth="1"/>
    <col min="16125" max="16125" width="23.85546875" customWidth="1"/>
    <col min="16126" max="16126" width="18.85546875" customWidth="1"/>
    <col min="16127" max="16127" width="16.5703125" customWidth="1"/>
    <col min="16128" max="16128" width="12.28515625" bestFit="1" customWidth="1"/>
    <col min="16129" max="16129" width="11.28515625" customWidth="1"/>
    <col min="16130" max="16130" width="11.7109375" customWidth="1"/>
    <col min="16131" max="16131" width="11" customWidth="1"/>
    <col min="16132" max="16132" width="17" customWidth="1"/>
    <col min="16133" max="16133" width="11.28515625" bestFit="1" customWidth="1"/>
    <col min="16135" max="16135" width="14.5703125" customWidth="1"/>
  </cols>
  <sheetData>
    <row r="1" spans="1:7" ht="18.75">
      <c r="A1" s="24"/>
      <c r="B1" s="24" t="s">
        <v>92</v>
      </c>
      <c r="C1" s="46"/>
      <c r="D1" s="47" t="str">
        <f>'[1]Balance Sheet'!B1</f>
        <v>As of 02/14/2021</v>
      </c>
    </row>
    <row r="2" spans="1:7" ht="15.75">
      <c r="A2" s="24" t="s">
        <v>91</v>
      </c>
      <c r="B2" s="24" t="s">
        <v>93</v>
      </c>
      <c r="C2" s="46"/>
      <c r="D2" s="48"/>
    </row>
    <row r="3" spans="1:7" ht="15.75">
      <c r="A3" s="24"/>
      <c r="B3" s="24" t="s">
        <v>122</v>
      </c>
      <c r="C3" s="46"/>
      <c r="D3" s="48"/>
    </row>
    <row r="4" spans="1:7" ht="15.75">
      <c r="A4" s="24"/>
      <c r="B4" s="24" t="s">
        <v>123</v>
      </c>
      <c r="C4" s="46"/>
      <c r="D4" s="48"/>
    </row>
    <row r="5" spans="1:7" ht="15.75">
      <c r="A5" s="24"/>
      <c r="B5" s="45" t="s">
        <v>126</v>
      </c>
      <c r="C5" s="46"/>
      <c r="D5" s="58"/>
      <c r="E5" s="59"/>
      <c r="F5" s="59"/>
    </row>
    <row r="6" spans="1:7" ht="15.75">
      <c r="A6" s="24"/>
      <c r="B6" s="25" t="s">
        <v>90</v>
      </c>
      <c r="C6" s="46" t="s">
        <v>142</v>
      </c>
      <c r="D6" s="60"/>
      <c r="E6" s="59" t="s">
        <v>139</v>
      </c>
      <c r="F6" s="59"/>
    </row>
    <row r="7" spans="1:7" ht="20.25">
      <c r="A7" s="24"/>
      <c r="B7" s="26" t="s">
        <v>94</v>
      </c>
      <c r="C7" s="46"/>
      <c r="D7" s="61"/>
      <c r="E7" s="59" t="s">
        <v>140</v>
      </c>
      <c r="F7" s="59"/>
    </row>
    <row r="8" spans="1:7">
      <c r="A8" s="24"/>
      <c r="B8" s="24"/>
      <c r="C8" s="49" t="s">
        <v>127</v>
      </c>
      <c r="D8" s="62"/>
      <c r="E8" s="59"/>
      <c r="F8" s="59"/>
    </row>
    <row r="9" spans="1:7">
      <c r="A9" s="1"/>
      <c r="B9" s="1"/>
      <c r="C9" s="50"/>
      <c r="D9" s="62"/>
      <c r="E9" s="59"/>
      <c r="F9" s="59"/>
    </row>
    <row r="10" spans="1:7">
      <c r="A10" s="1" t="s">
        <v>0</v>
      </c>
      <c r="B10" s="1"/>
      <c r="C10" s="2"/>
      <c r="D10" s="63"/>
      <c r="E10" s="59"/>
      <c r="F10" s="59"/>
    </row>
    <row r="11" spans="1:7">
      <c r="A11" s="1" t="s">
        <v>1</v>
      </c>
      <c r="B11" s="1"/>
      <c r="C11" s="3"/>
      <c r="D11" s="64"/>
      <c r="E11" s="59"/>
      <c r="F11" s="65"/>
      <c r="G11" s="34"/>
    </row>
    <row r="12" spans="1:7" ht="15.75">
      <c r="A12" s="1" t="s">
        <v>2</v>
      </c>
      <c r="B12" s="1">
        <v>2000</v>
      </c>
      <c r="C12" s="3">
        <f>'[1]Quicken Transaction no ARAP'!I67+'[1]Quicken Transaction no ARAP'!I9</f>
        <v>4215.8</v>
      </c>
      <c r="D12" s="64"/>
      <c r="E12" s="59">
        <v>2000</v>
      </c>
      <c r="F12" s="66"/>
      <c r="G12" s="5"/>
    </row>
    <row r="13" spans="1:7" ht="15.75">
      <c r="A13" s="1" t="s">
        <v>95</v>
      </c>
      <c r="B13" s="1">
        <v>0</v>
      </c>
      <c r="C13" s="3"/>
      <c r="D13" s="64"/>
      <c r="E13" s="59"/>
      <c r="F13" s="67"/>
      <c r="G13" s="6"/>
    </row>
    <row r="14" spans="1:7">
      <c r="A14" s="1" t="s">
        <v>3</v>
      </c>
      <c r="B14" s="1">
        <v>1000</v>
      </c>
      <c r="C14" s="3">
        <f>'[1]Quicken Transaction no ARAP'!I49</f>
        <v>1650</v>
      </c>
      <c r="D14" s="64"/>
      <c r="E14" s="59">
        <v>1000</v>
      </c>
      <c r="F14" s="59"/>
    </row>
    <row r="15" spans="1:7">
      <c r="A15" s="1" t="s">
        <v>15</v>
      </c>
      <c r="B15" s="1">
        <v>1000</v>
      </c>
      <c r="C15" s="51">
        <v>0</v>
      </c>
      <c r="D15" s="64"/>
      <c r="E15" s="59"/>
      <c r="F15" s="59"/>
    </row>
    <row r="16" spans="1:7">
      <c r="A16" s="1" t="s">
        <v>18</v>
      </c>
      <c r="B16" s="1"/>
      <c r="C16" s="51">
        <v>0</v>
      </c>
      <c r="D16" s="64"/>
      <c r="E16" s="59"/>
      <c r="F16" s="59"/>
    </row>
    <row r="17" spans="1:9">
      <c r="A17" s="1" t="s">
        <v>128</v>
      </c>
      <c r="B17" s="1">
        <v>0</v>
      </c>
      <c r="C17" s="4">
        <f>'[1]Quicken Transaction no ARAP'!I60</f>
        <v>50</v>
      </c>
      <c r="D17" s="64"/>
      <c r="E17" s="59">
        <v>400</v>
      </c>
      <c r="F17" s="59"/>
    </row>
    <row r="18" spans="1:9">
      <c r="A18" s="2">
        <f>SUM(B10:B17)</f>
        <v>4000</v>
      </c>
      <c r="B18" s="1"/>
      <c r="C18" s="2"/>
      <c r="D18" s="64"/>
      <c r="E18" s="59"/>
      <c r="F18" s="59"/>
    </row>
    <row r="19" spans="1:9">
      <c r="A19" s="1"/>
      <c r="B19" s="1"/>
      <c r="C19" s="2" t="s">
        <v>77</v>
      </c>
      <c r="D19" s="59">
        <f>SUM(E12:E18)</f>
        <v>3400</v>
      </c>
      <c r="E19" s="59"/>
      <c r="F19" s="59"/>
    </row>
    <row r="20" spans="1:9">
      <c r="A20" s="1" t="s">
        <v>4</v>
      </c>
      <c r="B20" s="1"/>
      <c r="C20" s="3"/>
      <c r="D20" s="64"/>
      <c r="E20" s="59"/>
      <c r="F20" s="59"/>
    </row>
    <row r="21" spans="1:9">
      <c r="A21" s="1" t="s">
        <v>119</v>
      </c>
      <c r="B21" s="1">
        <v>1000</v>
      </c>
      <c r="C21" s="3">
        <v>0</v>
      </c>
      <c r="D21" s="64" t="s">
        <v>145</v>
      </c>
      <c r="E21" s="59"/>
      <c r="F21" s="59"/>
    </row>
    <row r="22" spans="1:9">
      <c r="A22" s="1" t="s">
        <v>5</v>
      </c>
      <c r="B22" s="1">
        <v>75</v>
      </c>
      <c r="C22" s="3">
        <f>'[1]Quicken Transaction no ARAP'!I70</f>
        <v>98.38</v>
      </c>
      <c r="D22" s="64"/>
      <c r="E22" s="59">
        <v>75</v>
      </c>
      <c r="F22" s="59"/>
    </row>
    <row r="23" spans="1:9">
      <c r="A23" s="1" t="s">
        <v>6</v>
      </c>
      <c r="B23" s="1">
        <v>500</v>
      </c>
      <c r="C23" s="3"/>
      <c r="D23" s="64" t="s">
        <v>145</v>
      </c>
      <c r="E23" s="59"/>
      <c r="F23" s="59"/>
      <c r="H23" s="3"/>
    </row>
    <row r="24" spans="1:9">
      <c r="A24" s="1" t="s">
        <v>7</v>
      </c>
      <c r="B24" s="1">
        <v>600</v>
      </c>
      <c r="C24" s="3">
        <f>'[1]Quicken Transaction no ARAP'!I136</f>
        <v>462.4</v>
      </c>
      <c r="D24" s="64"/>
      <c r="E24" s="59">
        <v>500</v>
      </c>
      <c r="F24" s="59"/>
    </row>
    <row r="25" spans="1:9">
      <c r="A25" s="8" t="s">
        <v>112</v>
      </c>
      <c r="B25" s="8">
        <v>500</v>
      </c>
      <c r="C25" s="3">
        <f>'[1]Quicken Transaction no ARAP'!I145</f>
        <v>1616</v>
      </c>
      <c r="D25" s="64"/>
      <c r="E25" s="59">
        <v>500</v>
      </c>
      <c r="F25" s="59"/>
    </row>
    <row r="26" spans="1:9">
      <c r="A26" s="8" t="s">
        <v>129</v>
      </c>
      <c r="B26" s="8">
        <v>0</v>
      </c>
      <c r="C26" s="3">
        <f>'[1]Quicken Transaction no ARAP'!I173</f>
        <v>4001.66</v>
      </c>
      <c r="D26" s="64" t="s">
        <v>146</v>
      </c>
      <c r="E26" s="59"/>
      <c r="F26" s="59"/>
    </row>
    <row r="27" spans="1:9">
      <c r="A27" s="8" t="s">
        <v>130</v>
      </c>
      <c r="B27" s="8">
        <v>0</v>
      </c>
      <c r="C27" s="3">
        <f>'[1]Quicken Transaction no ARAP'!I185</f>
        <v>275</v>
      </c>
      <c r="D27" s="64" t="s">
        <v>147</v>
      </c>
      <c r="E27" s="59"/>
      <c r="F27" s="59"/>
    </row>
    <row r="28" spans="1:9">
      <c r="A28" s="1" t="s">
        <v>8</v>
      </c>
      <c r="B28" s="1">
        <v>50</v>
      </c>
      <c r="C28" s="51">
        <f>'[1]Quicken Transaction no ARAP'!I188</f>
        <v>50</v>
      </c>
      <c r="D28" s="64"/>
      <c r="E28" s="59">
        <v>50</v>
      </c>
      <c r="F28" s="59"/>
    </row>
    <row r="29" spans="1:9">
      <c r="A29" s="1" t="s">
        <v>9</v>
      </c>
      <c r="B29" s="1">
        <v>750</v>
      </c>
      <c r="C29" s="3">
        <f>'[1]Quicken Transaction no ARAP'!I190</f>
        <v>600</v>
      </c>
      <c r="D29" s="64"/>
      <c r="E29" s="59">
        <v>500</v>
      </c>
      <c r="F29" s="59"/>
      <c r="G29" s="10"/>
      <c r="H29" s="10"/>
      <c r="I29" s="10"/>
    </row>
    <row r="30" spans="1:9">
      <c r="A30" s="1" t="s">
        <v>117</v>
      </c>
      <c r="B30" s="1">
        <v>300</v>
      </c>
      <c r="C30" s="3"/>
      <c r="D30" s="64"/>
      <c r="E30" s="59">
        <v>300</v>
      </c>
      <c r="F30" s="59"/>
    </row>
    <row r="31" spans="1:9">
      <c r="A31" s="19" t="s">
        <v>124</v>
      </c>
      <c r="B31" s="8">
        <v>13000</v>
      </c>
      <c r="C31" s="51">
        <f>'[1]Quicken Transaction no ARAP'!I75</f>
        <v>12341</v>
      </c>
      <c r="D31" s="64"/>
      <c r="E31" s="59">
        <v>13000</v>
      </c>
      <c r="F31" s="59"/>
    </row>
    <row r="32" spans="1:9">
      <c r="A32" s="1" t="s">
        <v>78</v>
      </c>
      <c r="B32" s="1">
        <v>200</v>
      </c>
      <c r="C32" s="51">
        <f>'[1]Quicken Transaction no ARAP'!I192</f>
        <v>196.05</v>
      </c>
      <c r="D32" s="64"/>
      <c r="E32" s="59">
        <v>200</v>
      </c>
      <c r="F32" s="59"/>
    </row>
    <row r="33" spans="1:18">
      <c r="A33" s="8" t="s">
        <v>96</v>
      </c>
      <c r="B33" s="8">
        <v>500</v>
      </c>
      <c r="C33" s="3"/>
      <c r="D33" s="64" t="s">
        <v>145</v>
      </c>
      <c r="E33" s="59"/>
      <c r="F33" s="59"/>
    </row>
    <row r="34" spans="1:18">
      <c r="A34" s="1" t="s">
        <v>97</v>
      </c>
      <c r="B34" s="1">
        <v>500</v>
      </c>
      <c r="C34" s="3"/>
      <c r="D34" s="64" t="s">
        <v>145</v>
      </c>
      <c r="E34" s="59"/>
      <c r="F34" s="59"/>
    </row>
    <row r="35" spans="1:18">
      <c r="A35" s="1" t="s">
        <v>10</v>
      </c>
      <c r="B35" s="1">
        <v>4000</v>
      </c>
      <c r="C35" s="3">
        <f>'[1]Quicken Transaction no ARAP'!I194</f>
        <v>3050</v>
      </c>
      <c r="D35" s="64"/>
      <c r="E35" s="59">
        <v>3500</v>
      </c>
      <c r="F35" s="59"/>
    </row>
    <row r="36" spans="1:18">
      <c r="A36" s="1" t="s">
        <v>79</v>
      </c>
      <c r="B36" s="1">
        <v>1500</v>
      </c>
      <c r="C36" s="51">
        <f>'[1]Quicken Transaction no ARAP'!I207</f>
        <v>6003.99</v>
      </c>
      <c r="D36" s="64"/>
      <c r="E36" s="59">
        <v>5000</v>
      </c>
      <c r="F36" s="59"/>
      <c r="H36" s="33"/>
    </row>
    <row r="37" spans="1:18">
      <c r="A37" s="1" t="s">
        <v>131</v>
      </c>
      <c r="B37" s="1">
        <v>400</v>
      </c>
      <c r="C37" s="51">
        <f>'[1]Quicken Transaction no ARAP'!I143</f>
        <v>391.85</v>
      </c>
      <c r="D37" s="64"/>
      <c r="E37" s="59">
        <v>300</v>
      </c>
      <c r="F37" s="59"/>
      <c r="H37" s="33"/>
    </row>
    <row r="38" spans="1:18">
      <c r="A38" s="1" t="s">
        <v>12</v>
      </c>
      <c r="B38" s="1">
        <v>7000</v>
      </c>
      <c r="C38" s="2"/>
      <c r="D38" s="64" t="s">
        <v>148</v>
      </c>
      <c r="E38" s="59">
        <v>7000</v>
      </c>
      <c r="F38" s="59"/>
    </row>
    <row r="39" spans="1:18">
      <c r="A39" s="1"/>
      <c r="B39" s="1"/>
      <c r="C39" s="2"/>
      <c r="D39" s="64"/>
      <c r="E39" s="68"/>
      <c r="F39" s="63"/>
    </row>
    <row r="40" spans="1:18">
      <c r="A40" s="2">
        <f>SUM(B20:B39)</f>
        <v>30875</v>
      </c>
      <c r="B40" s="1"/>
      <c r="C40" s="2"/>
      <c r="D40" s="69">
        <f>SUM(E20:E39)</f>
        <v>30925</v>
      </c>
      <c r="E40" s="70"/>
      <c r="F40" s="63"/>
    </row>
    <row r="41" spans="1:18">
      <c r="A41" s="40">
        <f>A40*74%</f>
        <v>22847.5</v>
      </c>
      <c r="B41" s="41" t="s">
        <v>113</v>
      </c>
      <c r="C41" s="2"/>
      <c r="D41" s="70">
        <f>D40*74%</f>
        <v>22884.5</v>
      </c>
      <c r="E41" s="71" t="s">
        <v>113</v>
      </c>
      <c r="F41" s="63"/>
    </row>
    <row r="42" spans="1:18">
      <c r="A42" s="42">
        <f>A40*26%</f>
        <v>8027.5</v>
      </c>
      <c r="B42" s="33" t="s">
        <v>114</v>
      </c>
      <c r="C42" s="2"/>
      <c r="D42" s="70">
        <f>D40*26%</f>
        <v>8040.5</v>
      </c>
      <c r="E42" s="71" t="s">
        <v>114</v>
      </c>
      <c r="F42" s="63"/>
    </row>
    <row r="43" spans="1:18">
      <c r="A43" s="3">
        <f>A40</f>
        <v>30875</v>
      </c>
      <c r="B43" t="s">
        <v>115</v>
      </c>
      <c r="C43" s="2"/>
      <c r="D43" s="72">
        <f>D40</f>
        <v>30925</v>
      </c>
      <c r="E43" s="73" t="s">
        <v>115</v>
      </c>
      <c r="F43" s="63"/>
      <c r="H43" s="10"/>
    </row>
    <row r="44" spans="1:18">
      <c r="A44" s="1" t="s">
        <v>13</v>
      </c>
      <c r="B44" s="1"/>
      <c r="C44" s="2"/>
      <c r="D44" s="64"/>
      <c r="E44" s="59"/>
      <c r="F44" s="59"/>
      <c r="H44" s="10"/>
      <c r="M44" s="3"/>
    </row>
    <row r="45" spans="1:18">
      <c r="A45" s="1" t="s">
        <v>14</v>
      </c>
      <c r="B45" s="1"/>
      <c r="C45" s="4">
        <f>'[1]Quicken Transaction no ARAP'!I282</f>
        <v>3420</v>
      </c>
      <c r="D45" s="64" t="s">
        <v>132</v>
      </c>
      <c r="E45" s="59"/>
      <c r="F45" s="59"/>
      <c r="H45" s="10"/>
      <c r="P45" s="9"/>
      <c r="Q45" s="8"/>
      <c r="R45" s="8"/>
    </row>
    <row r="46" spans="1:18">
      <c r="A46" s="1" t="s">
        <v>133</v>
      </c>
      <c r="B46" s="1"/>
      <c r="C46" s="4">
        <f>'[1]Quicken Transaction no ARAP'!I275</f>
        <v>1220</v>
      </c>
      <c r="D46" s="64" t="s">
        <v>132</v>
      </c>
      <c r="E46" s="59"/>
      <c r="F46" s="59"/>
      <c r="H46" s="10"/>
      <c r="L46" s="10"/>
      <c r="M46" s="10"/>
      <c r="N46" s="10"/>
      <c r="O46" s="10"/>
    </row>
    <row r="47" spans="1:18">
      <c r="A47" s="1" t="s">
        <v>134</v>
      </c>
      <c r="B47" s="1"/>
      <c r="C47" s="4">
        <f>'[1]Quicken Transaction no ARAP'!I277</f>
        <v>1760</v>
      </c>
      <c r="D47" s="64" t="s">
        <v>132</v>
      </c>
      <c r="E47" s="59"/>
      <c r="F47" s="59"/>
      <c r="H47" s="10"/>
      <c r="L47" s="9"/>
      <c r="M47" s="10"/>
      <c r="N47" s="10"/>
      <c r="O47" s="10"/>
    </row>
    <row r="48" spans="1:18">
      <c r="A48" s="8" t="s">
        <v>15</v>
      </c>
      <c r="B48" s="8">
        <v>5000</v>
      </c>
      <c r="C48" s="2"/>
      <c r="D48" s="64"/>
      <c r="E48" s="59"/>
      <c r="F48" s="59"/>
      <c r="H48" s="10"/>
      <c r="L48" s="9"/>
      <c r="M48" s="10"/>
      <c r="N48" s="10"/>
      <c r="O48" s="10"/>
    </row>
    <row r="49" spans="1:16">
      <c r="A49" s="1" t="s">
        <v>3</v>
      </c>
      <c r="B49" s="1"/>
      <c r="C49" s="4">
        <f>'[1]Quicken Transaction no ARAP'!I279</f>
        <v>3600</v>
      </c>
      <c r="D49" s="64" t="s">
        <v>132</v>
      </c>
      <c r="E49" s="59"/>
      <c r="F49" s="59"/>
      <c r="H49" s="10"/>
      <c r="L49" s="10"/>
      <c r="M49" s="10"/>
      <c r="N49" s="10"/>
      <c r="O49" s="10"/>
    </row>
    <row r="50" spans="1:16">
      <c r="A50" s="19" t="s">
        <v>125</v>
      </c>
      <c r="B50" s="19">
        <v>2000</v>
      </c>
      <c r="C50" s="51"/>
      <c r="D50" s="74"/>
      <c r="E50" s="59"/>
      <c r="F50" s="59"/>
      <c r="H50" s="10"/>
      <c r="L50" s="10"/>
      <c r="M50" s="10"/>
      <c r="N50" s="10"/>
      <c r="O50" s="10"/>
      <c r="P50" s="3"/>
    </row>
    <row r="51" spans="1:16">
      <c r="A51" s="1" t="s">
        <v>16</v>
      </c>
      <c r="B51" s="1"/>
      <c r="C51" s="2"/>
      <c r="D51" s="62"/>
      <c r="E51" s="59"/>
      <c r="F51" s="59"/>
      <c r="H51" s="10"/>
      <c r="L51" s="10"/>
      <c r="M51" s="10"/>
      <c r="N51" s="10"/>
      <c r="O51" s="10"/>
    </row>
    <row r="52" spans="1:16">
      <c r="A52" s="1" t="s">
        <v>17</v>
      </c>
      <c r="B52" s="8" t="e">
        <f>A58</f>
        <v>#REF!</v>
      </c>
      <c r="C52" s="55"/>
      <c r="D52" s="75"/>
      <c r="E52" s="76">
        <v>10330</v>
      </c>
      <c r="F52" s="59"/>
      <c r="H52" s="10"/>
      <c r="L52" s="10"/>
      <c r="M52" s="10"/>
      <c r="N52" s="10"/>
      <c r="O52" s="10"/>
    </row>
    <row r="53" spans="1:16">
      <c r="A53" s="1" t="s">
        <v>18</v>
      </c>
      <c r="B53" s="8" t="e">
        <f>A61-8750</f>
        <v>#REF!</v>
      </c>
      <c r="C53" s="55">
        <f>'[1]Quicken Transaction no ARAP'!I285</f>
        <v>9250</v>
      </c>
      <c r="D53" s="77" t="s">
        <v>143</v>
      </c>
      <c r="E53" s="59">
        <v>17155</v>
      </c>
      <c r="F53" s="59" t="s">
        <v>154</v>
      </c>
      <c r="G53" s="10"/>
      <c r="H53" s="10"/>
      <c r="I53" s="10"/>
      <c r="J53" s="10"/>
      <c r="L53" s="10"/>
      <c r="M53" s="10"/>
      <c r="N53" s="10"/>
      <c r="O53" s="10"/>
    </row>
    <row r="54" spans="1:16" ht="90">
      <c r="A54" s="2" t="e">
        <f>SUM(B44:B54)</f>
        <v>#REF!</v>
      </c>
      <c r="B54" s="8"/>
      <c r="C54" s="2"/>
      <c r="D54" s="64">
        <f>SUM(E44:E53)</f>
        <v>27485</v>
      </c>
      <c r="E54" s="78" t="s">
        <v>144</v>
      </c>
      <c r="F54" s="79">
        <f>17155-4875</f>
        <v>12280</v>
      </c>
      <c r="G54" s="10"/>
      <c r="H54" s="10"/>
      <c r="I54" s="10"/>
      <c r="J54" s="10"/>
      <c r="L54" s="10"/>
      <c r="M54" s="10"/>
      <c r="N54" s="10"/>
      <c r="O54" s="10"/>
    </row>
    <row r="55" spans="1:16">
      <c r="A55" s="1"/>
      <c r="B55" s="1"/>
      <c r="C55" s="2"/>
      <c r="D55" s="64"/>
      <c r="E55" s="80"/>
      <c r="F55" s="80"/>
      <c r="G55" s="10"/>
      <c r="H55" s="10"/>
      <c r="I55" s="10"/>
      <c r="J55" s="10"/>
      <c r="L55" s="10"/>
      <c r="M55" s="10"/>
      <c r="N55" s="10"/>
      <c r="O55" s="10"/>
    </row>
    <row r="56" spans="1:16" ht="15.75">
      <c r="A56" s="23">
        <v>2020</v>
      </c>
      <c r="B56" s="3"/>
      <c r="C56" s="2"/>
      <c r="D56" s="59"/>
      <c r="E56" s="59"/>
      <c r="F56" s="80" t="s">
        <v>19</v>
      </c>
      <c r="G56" s="57">
        <v>2021</v>
      </c>
      <c r="H56" s="10"/>
      <c r="I56" s="10"/>
      <c r="J56" s="10"/>
      <c r="L56" s="10"/>
      <c r="M56" s="10"/>
      <c r="N56" s="10"/>
      <c r="O56" s="10"/>
    </row>
    <row r="57" spans="1:16">
      <c r="A57" s="14" t="s">
        <v>19</v>
      </c>
      <c r="B57" s="14"/>
      <c r="C57" s="2"/>
      <c r="D57" s="59"/>
      <c r="E57" s="59"/>
      <c r="F57" s="81">
        <f>F59-F58</f>
        <v>-12554.5</v>
      </c>
      <c r="G57" s="14" t="s">
        <v>20</v>
      </c>
      <c r="H57" s="10"/>
      <c r="I57" s="10"/>
      <c r="J57" s="10"/>
      <c r="L57" s="10"/>
      <c r="M57" s="10"/>
      <c r="N57" s="10"/>
      <c r="O57" s="10"/>
    </row>
    <row r="58" spans="1:16">
      <c r="A58" s="38" t="e">
        <f>A60-A59</f>
        <v>#REF!</v>
      </c>
      <c r="B58" s="14" t="s">
        <v>20</v>
      </c>
      <c r="C58" s="2"/>
      <c r="D58" s="59"/>
      <c r="E58" s="59"/>
      <c r="F58" s="81">
        <f>D41</f>
        <v>22884.5</v>
      </c>
      <c r="G58" s="14" t="s">
        <v>22</v>
      </c>
      <c r="H58" s="10"/>
      <c r="I58" s="10"/>
      <c r="J58" s="10"/>
      <c r="L58" s="10"/>
      <c r="M58" s="10"/>
      <c r="N58" s="10"/>
      <c r="O58" s="10"/>
    </row>
    <row r="59" spans="1:16">
      <c r="A59" s="38">
        <f>A41</f>
        <v>22847.5</v>
      </c>
      <c r="B59" s="14" t="s">
        <v>22</v>
      </c>
      <c r="C59" s="2"/>
      <c r="D59" s="59"/>
      <c r="E59" s="59"/>
      <c r="F59" s="81">
        <f>E52</f>
        <v>10330</v>
      </c>
      <c r="G59" s="14" t="s">
        <v>23</v>
      </c>
      <c r="H59" s="10"/>
      <c r="I59" s="10"/>
      <c r="J59" s="10"/>
      <c r="L59" s="10"/>
      <c r="M59" s="10"/>
      <c r="N59" s="10"/>
      <c r="O59" s="10"/>
    </row>
    <row r="60" spans="1:16">
      <c r="A60" s="38" t="e">
        <f>B61</f>
        <v>#REF!</v>
      </c>
      <c r="B60" s="14" t="s">
        <v>23</v>
      </c>
      <c r="C60" s="2"/>
      <c r="D60" s="59"/>
      <c r="E60" s="59"/>
      <c r="F60" s="81">
        <f>E53</f>
        <v>17155</v>
      </c>
      <c r="G60" s="37">
        <f>F57+F58</f>
        <v>10330</v>
      </c>
      <c r="H60" s="10"/>
      <c r="I60" s="10"/>
      <c r="J60" s="10"/>
      <c r="L60" s="10"/>
      <c r="M60" s="10"/>
      <c r="N60" s="10"/>
      <c r="O60" s="10"/>
    </row>
    <row r="61" spans="1:16">
      <c r="A61" s="38" t="e">
        <f>#REF!+#REF!</f>
        <v>#REF!</v>
      </c>
      <c r="B61" s="37" t="e">
        <f>#REF!+#REF!</f>
        <v>#REF!</v>
      </c>
      <c r="C61" s="2"/>
      <c r="D61" s="59"/>
      <c r="E61" s="59"/>
      <c r="F61" s="82" t="s">
        <v>105</v>
      </c>
      <c r="G61" s="14" t="s">
        <v>25</v>
      </c>
      <c r="H61" s="10"/>
      <c r="I61" s="10"/>
      <c r="J61" s="10"/>
      <c r="L61" s="10"/>
      <c r="M61" s="10"/>
      <c r="N61" s="10"/>
      <c r="O61" s="10"/>
    </row>
    <row r="62" spans="1:16">
      <c r="A62" s="39" t="s">
        <v>105</v>
      </c>
      <c r="B62" s="14" t="s">
        <v>25</v>
      </c>
      <c r="C62" s="2"/>
      <c r="D62" s="59"/>
      <c r="E62" s="59"/>
      <c r="F62" s="83" t="s">
        <v>151</v>
      </c>
      <c r="G62" s="14" t="s">
        <v>26</v>
      </c>
      <c r="H62" s="10"/>
      <c r="I62" s="10"/>
      <c r="J62" s="10"/>
      <c r="L62" s="10"/>
      <c r="M62" s="10"/>
      <c r="N62" s="10"/>
      <c r="O62" s="10"/>
    </row>
    <row r="63" spans="1:16">
      <c r="A63" s="15" t="e">
        <f>A61+B61+C61</f>
        <v>#REF!</v>
      </c>
      <c r="B63" s="14" t="s">
        <v>26</v>
      </c>
      <c r="C63" s="18"/>
      <c r="D63" s="59"/>
      <c r="E63" s="59"/>
      <c r="F63" s="84" t="s">
        <v>152</v>
      </c>
      <c r="G63" s="16">
        <f>70.25*1025</f>
        <v>72006.25</v>
      </c>
      <c r="H63" s="10"/>
      <c r="I63" s="10"/>
      <c r="J63" s="10"/>
      <c r="L63" s="10"/>
      <c r="M63" s="10"/>
      <c r="N63" s="10"/>
      <c r="O63" s="10"/>
    </row>
    <row r="64" spans="1:16">
      <c r="A64" s="16" t="s">
        <v>76</v>
      </c>
      <c r="B64" s="16"/>
      <c r="C64" s="2"/>
      <c r="D64" s="59"/>
      <c r="E64" s="59"/>
      <c r="F64" s="80" t="s">
        <v>149</v>
      </c>
      <c r="G64" s="14"/>
      <c r="H64" s="10"/>
      <c r="I64" s="10"/>
      <c r="J64" s="10"/>
      <c r="L64" s="10"/>
      <c r="M64" s="10"/>
      <c r="N64" s="10"/>
      <c r="O64" s="10"/>
    </row>
    <row r="65" spans="1:15">
      <c r="A65" s="14" t="s">
        <v>72</v>
      </c>
      <c r="B65" s="14" t="s">
        <v>75</v>
      </c>
      <c r="C65" s="2"/>
      <c r="D65" s="59"/>
      <c r="E65" s="59"/>
      <c r="F65" s="80" t="s">
        <v>150</v>
      </c>
      <c r="G65" s="14"/>
      <c r="H65" s="10"/>
      <c r="I65" s="10"/>
      <c r="J65" s="10"/>
      <c r="L65" s="13"/>
      <c r="M65" s="10"/>
      <c r="N65" s="10"/>
      <c r="O65" s="10"/>
    </row>
    <row r="66" spans="1:15">
      <c r="A66" s="14" t="s">
        <v>116</v>
      </c>
      <c r="B66" s="14"/>
      <c r="C66" s="2"/>
      <c r="D66" s="59"/>
      <c r="E66" s="59"/>
      <c r="F66" s="85" t="s">
        <v>153</v>
      </c>
      <c r="G66" s="8"/>
      <c r="H66" s="10"/>
      <c r="I66" s="10"/>
      <c r="J66" s="10"/>
      <c r="M66" s="10"/>
      <c r="N66" s="10"/>
      <c r="O66" s="10"/>
    </row>
    <row r="67" spans="1:15">
      <c r="A67" s="1"/>
      <c r="B67" s="1"/>
      <c r="C67" s="2"/>
      <c r="D67" s="64"/>
      <c r="E67" s="59"/>
      <c r="F67" s="59"/>
      <c r="G67" s="36"/>
      <c r="H67" s="9"/>
      <c r="I67" s="9"/>
      <c r="J67" s="10"/>
      <c r="M67" s="10"/>
      <c r="N67" s="10"/>
      <c r="O67" s="10"/>
    </row>
    <row r="68" spans="1:15">
      <c r="A68" s="1" t="s">
        <v>21</v>
      </c>
      <c r="B68" s="1"/>
      <c r="C68" s="2">
        <v>0</v>
      </c>
      <c r="D68" s="64"/>
      <c r="E68" s="59"/>
      <c r="F68" s="59"/>
      <c r="H68" s="3"/>
      <c r="I68" s="3"/>
    </row>
    <row r="69" spans="1:15">
      <c r="A69" s="1"/>
      <c r="B69" s="1"/>
      <c r="C69" s="2"/>
      <c r="D69" s="86"/>
      <c r="E69" s="59"/>
      <c r="F69" s="59"/>
      <c r="H69" s="3"/>
      <c r="I69" s="3"/>
    </row>
    <row r="70" spans="1:15">
      <c r="A70" s="1" t="s">
        <v>24</v>
      </c>
      <c r="B70" s="1">
        <v>300</v>
      </c>
      <c r="C70" s="2">
        <f>'[1]Quicken Transaction no ARAP'!I291</f>
        <v>145</v>
      </c>
      <c r="D70" s="64"/>
      <c r="E70" s="59">
        <v>150</v>
      </c>
      <c r="F70" s="59"/>
    </row>
    <row r="71" spans="1:15">
      <c r="A71" s="2">
        <f>SUM(B69:B71)</f>
        <v>300</v>
      </c>
      <c r="B71" s="1"/>
      <c r="C71" s="2"/>
      <c r="D71" s="64"/>
      <c r="E71" s="59"/>
      <c r="F71" s="59"/>
    </row>
    <row r="72" spans="1:15">
      <c r="A72" s="1"/>
      <c r="B72" s="1"/>
      <c r="C72" s="2"/>
      <c r="D72" s="64"/>
      <c r="E72" s="59"/>
      <c r="F72" s="59"/>
      <c r="G72" s="3"/>
    </row>
    <row r="73" spans="1:15">
      <c r="A73" s="1" t="s">
        <v>135</v>
      </c>
      <c r="B73" s="1">
        <v>0</v>
      </c>
      <c r="C73" s="2">
        <f>'[1]Quicken Transaction no ARAP'!I302</f>
        <v>4500</v>
      </c>
      <c r="D73" s="64" t="s">
        <v>155</v>
      </c>
      <c r="E73" s="59"/>
      <c r="F73" s="59"/>
      <c r="G73" s="3"/>
      <c r="N73" s="3"/>
    </row>
    <row r="74" spans="1:15" ht="15.75">
      <c r="A74" s="1"/>
      <c r="B74" s="1"/>
      <c r="C74" s="2"/>
      <c r="D74" s="64"/>
      <c r="E74" s="59"/>
      <c r="F74" s="87"/>
      <c r="G74" s="11"/>
      <c r="H74" s="12"/>
      <c r="I74" s="12"/>
      <c r="N74" s="3"/>
    </row>
    <row r="75" spans="1:15" ht="15.75">
      <c r="A75" s="1"/>
      <c r="B75" s="1"/>
      <c r="C75" s="2"/>
      <c r="D75" s="64"/>
      <c r="E75" s="65"/>
      <c r="F75" s="87"/>
      <c r="G75" s="11"/>
      <c r="H75" s="12"/>
      <c r="I75" s="12"/>
      <c r="N75" s="3"/>
    </row>
    <row r="76" spans="1:15" ht="15.75">
      <c r="A76" s="8" t="s">
        <v>27</v>
      </c>
      <c r="B76" s="1">
        <f>'[1]Approved Budget 2021'!A71</f>
        <v>-22434</v>
      </c>
      <c r="C76" s="2">
        <f>'[1]Quicken Transaction no ARAP'!I304</f>
        <v>17480</v>
      </c>
      <c r="D76" s="64"/>
      <c r="E76" s="59">
        <v>22210</v>
      </c>
      <c r="F76" s="87"/>
      <c r="G76" s="10"/>
    </row>
    <row r="77" spans="1:15">
      <c r="A77" s="2">
        <f>C61</f>
        <v>0</v>
      </c>
      <c r="B77" s="1"/>
      <c r="C77" s="1"/>
      <c r="D77" s="64"/>
      <c r="E77" s="59"/>
      <c r="F77" s="59"/>
      <c r="G77" s="10"/>
    </row>
    <row r="78" spans="1:15" ht="90">
      <c r="A78" s="52" t="s">
        <v>102</v>
      </c>
      <c r="B78" s="21"/>
      <c r="C78" s="1"/>
      <c r="D78" s="64"/>
      <c r="E78" s="78" t="s">
        <v>144</v>
      </c>
      <c r="F78" s="59"/>
      <c r="G78" s="10"/>
    </row>
    <row r="79" spans="1:15">
      <c r="A79" s="1"/>
      <c r="B79" s="1"/>
      <c r="C79" s="1"/>
      <c r="D79" s="64"/>
      <c r="E79" s="59"/>
      <c r="F79" s="59"/>
      <c r="G79" s="10"/>
      <c r="H79" s="10"/>
      <c r="I79" s="10"/>
    </row>
    <row r="80" spans="1:15">
      <c r="A80" s="1" t="s">
        <v>73</v>
      </c>
      <c r="B80" s="1"/>
      <c r="C80" s="1">
        <f>SUM(C9:C79)</f>
        <v>76377.13</v>
      </c>
      <c r="D80" s="64"/>
      <c r="E80" s="59"/>
      <c r="F80" s="59"/>
      <c r="G80" s="10"/>
      <c r="H80" s="10"/>
      <c r="I80" s="10"/>
    </row>
    <row r="81" spans="1:8">
      <c r="A81" s="1" t="s">
        <v>74</v>
      </c>
      <c r="B81" s="2" t="e">
        <f>SUM(B9:B80)-B61</f>
        <v>#REF!</v>
      </c>
      <c r="C81" s="2"/>
      <c r="D81" s="86">
        <f>E76+E70+D54+D40+D19</f>
        <v>84170</v>
      </c>
      <c r="E81" s="65">
        <f>SUM(E10:E80)</f>
        <v>84170</v>
      </c>
      <c r="F81" s="59"/>
    </row>
    <row r="82" spans="1:8">
      <c r="A82" s="1"/>
      <c r="B82" s="1"/>
      <c r="C82" s="2"/>
      <c r="D82" s="64"/>
      <c r="E82" s="59"/>
      <c r="F82" s="59"/>
    </row>
    <row r="83" spans="1:8">
      <c r="A83" s="1"/>
      <c r="B83" s="1"/>
      <c r="C83" s="2"/>
      <c r="D83" s="64"/>
      <c r="E83" s="59"/>
      <c r="F83" s="59"/>
      <c r="G83" s="10"/>
    </row>
    <row r="84" spans="1:8">
      <c r="A84" s="1"/>
      <c r="B84" s="1"/>
      <c r="C84" s="2"/>
      <c r="D84" s="88"/>
      <c r="E84" s="59"/>
      <c r="F84" s="59"/>
    </row>
    <row r="85" spans="1:8">
      <c r="A85" s="1"/>
      <c r="B85" s="1"/>
      <c r="C85" s="2"/>
      <c r="D85" s="88"/>
      <c r="E85" s="59"/>
      <c r="F85" s="59"/>
    </row>
    <row r="86" spans="1:8">
      <c r="A86" s="1" t="s">
        <v>28</v>
      </c>
      <c r="B86" s="1"/>
      <c r="C86" s="2"/>
      <c r="D86" s="88"/>
      <c r="E86" s="59"/>
      <c r="F86" s="59"/>
    </row>
    <row r="87" spans="1:8">
      <c r="A87" s="1" t="s">
        <v>136</v>
      </c>
      <c r="B87" s="1"/>
      <c r="C87" s="2"/>
      <c r="D87" s="88"/>
      <c r="E87" s="59"/>
      <c r="F87" s="59"/>
    </row>
    <row r="88" spans="1:8">
      <c r="A88" s="1" t="s">
        <v>29</v>
      </c>
      <c r="B88" s="1"/>
      <c r="C88" s="2"/>
      <c r="D88" s="88"/>
      <c r="E88" s="59"/>
      <c r="F88" s="59"/>
    </row>
    <row r="89" spans="1:8">
      <c r="A89" s="1" t="s">
        <v>30</v>
      </c>
      <c r="B89" s="1"/>
      <c r="C89" s="2">
        <f>-4500-C91</f>
        <v>-3945.9</v>
      </c>
      <c r="D89" s="88"/>
      <c r="E89" s="59"/>
      <c r="F89" s="59"/>
    </row>
    <row r="90" spans="1:8">
      <c r="A90" s="1" t="s">
        <v>31</v>
      </c>
      <c r="B90" s="1"/>
      <c r="C90" s="2"/>
      <c r="D90" s="88"/>
      <c r="E90" s="59"/>
      <c r="F90" s="59"/>
    </row>
    <row r="91" spans="1:8">
      <c r="A91" s="1" t="s">
        <v>32</v>
      </c>
      <c r="B91" s="1"/>
      <c r="C91" s="2">
        <v>-554.1</v>
      </c>
      <c r="D91" s="88"/>
      <c r="E91" s="59"/>
      <c r="F91" s="59"/>
    </row>
    <row r="92" spans="1:8">
      <c r="A92" s="1" t="s">
        <v>33</v>
      </c>
      <c r="B92" s="1"/>
      <c r="C92" s="2"/>
      <c r="D92" s="88"/>
      <c r="E92" s="59"/>
      <c r="F92" s="59"/>
    </row>
    <row r="93" spans="1:8">
      <c r="A93" s="1"/>
      <c r="B93" s="1"/>
      <c r="C93" s="2"/>
      <c r="D93" s="88"/>
      <c r="E93" s="59"/>
      <c r="F93" s="59"/>
      <c r="G93" s="10"/>
    </row>
    <row r="94" spans="1:8">
      <c r="A94" s="1" t="s">
        <v>29</v>
      </c>
      <c r="B94" s="1"/>
      <c r="C94" s="2"/>
      <c r="D94" s="88"/>
      <c r="E94" s="59"/>
      <c r="F94" s="59"/>
      <c r="G94" s="10"/>
      <c r="H94" s="10"/>
    </row>
    <row r="95" spans="1:8">
      <c r="A95" s="1" t="s">
        <v>30</v>
      </c>
      <c r="B95" s="1">
        <v>-15000</v>
      </c>
      <c r="C95" s="2">
        <f>'[1]Quicken Transaction no ARAP'!I990-[1]Actual!C89</f>
        <v>-15000</v>
      </c>
      <c r="D95" s="89" t="s">
        <v>156</v>
      </c>
      <c r="E95" s="59">
        <f>-1250*12</f>
        <v>-15000</v>
      </c>
      <c r="F95" s="59"/>
      <c r="H95" s="10"/>
    </row>
    <row r="96" spans="1:8">
      <c r="A96" s="1" t="s">
        <v>31</v>
      </c>
      <c r="B96" s="1">
        <f>8*12*-12</f>
        <v>-1152</v>
      </c>
      <c r="C96" s="2">
        <f>'[1]Quicken Transaction no ARAP'!I1003</f>
        <v>-273</v>
      </c>
      <c r="D96" s="64"/>
      <c r="E96" s="59">
        <v>0</v>
      </c>
      <c r="F96" s="59"/>
      <c r="H96" s="10"/>
    </row>
    <row r="97" spans="1:8">
      <c r="A97" s="1" t="s">
        <v>32</v>
      </c>
      <c r="B97" s="1">
        <v>-7524</v>
      </c>
      <c r="C97" s="2">
        <f>'[1]Quicken Transaction no ARAP'!I1009-[1]Actual!C91</f>
        <v>-2289</v>
      </c>
      <c r="D97" s="89" t="s">
        <v>157</v>
      </c>
      <c r="E97" s="59">
        <f>-13.5*38*12</f>
        <v>-6156</v>
      </c>
      <c r="F97" s="59"/>
      <c r="H97" s="10"/>
    </row>
    <row r="98" spans="1:8">
      <c r="A98" s="1" t="s">
        <v>33</v>
      </c>
      <c r="B98" s="1">
        <v>-2200</v>
      </c>
      <c r="C98" s="2">
        <f>'[1]Quicken Transaction no ARAP'!I1015+'[1]Quicken Transaction no ARAP'!I1019+'[1]Quicken Transaction no ARAP'!I1041+'[1]Quicken Transaction no ARAP'!I1063+'[1]Quicken Transaction no ARAP'!I1085+'[1]Quicken Transaction no ARAP'!I1107</f>
        <v>-1300.0900000000001</v>
      </c>
      <c r="D98" s="64"/>
      <c r="E98" s="59">
        <v>-2200</v>
      </c>
      <c r="F98" s="59"/>
      <c r="H98" s="10"/>
    </row>
    <row r="99" spans="1:8">
      <c r="A99" s="2">
        <f>SUM(B94:B99)</f>
        <v>-25876</v>
      </c>
      <c r="B99" s="1"/>
      <c r="C99" s="2"/>
      <c r="D99" s="86">
        <f>SUM(E94:E99)</f>
        <v>-23356</v>
      </c>
      <c r="E99" s="59"/>
      <c r="F99" s="59"/>
      <c r="H99" s="10"/>
    </row>
    <row r="100" spans="1:8">
      <c r="A100" s="1"/>
      <c r="B100" s="1"/>
      <c r="C100" s="2"/>
      <c r="D100" s="64"/>
      <c r="E100" s="59"/>
      <c r="F100" s="59"/>
      <c r="H100" s="10"/>
    </row>
    <row r="101" spans="1:8">
      <c r="A101" s="1" t="s">
        <v>34</v>
      </c>
      <c r="B101" s="1"/>
      <c r="C101" s="2"/>
      <c r="D101" s="88"/>
      <c r="E101" s="59"/>
      <c r="F101" s="59"/>
      <c r="H101" s="10"/>
    </row>
    <row r="102" spans="1:8">
      <c r="A102" s="1" t="s">
        <v>35</v>
      </c>
      <c r="B102" s="1"/>
      <c r="C102" s="2">
        <v>0</v>
      </c>
      <c r="D102" s="64"/>
      <c r="E102" s="59">
        <v>0</v>
      </c>
      <c r="F102" s="59"/>
    </row>
    <row r="103" spans="1:8">
      <c r="A103" s="1" t="s">
        <v>36</v>
      </c>
      <c r="B103" s="1"/>
      <c r="C103" s="2">
        <v>0</v>
      </c>
      <c r="D103" s="64"/>
      <c r="E103" s="59">
        <v>0</v>
      </c>
      <c r="F103" s="59"/>
    </row>
    <row r="104" spans="1:8">
      <c r="A104" s="1" t="s">
        <v>37</v>
      </c>
      <c r="B104" s="1">
        <v>-150</v>
      </c>
      <c r="C104" s="2">
        <f>'[1]Quicken Transaction no ARAP'!G368</f>
        <v>0</v>
      </c>
      <c r="D104" s="64"/>
      <c r="E104" s="59">
        <v>-50</v>
      </c>
      <c r="F104" s="59"/>
    </row>
    <row r="105" spans="1:8">
      <c r="A105" s="8" t="s">
        <v>107</v>
      </c>
      <c r="B105" s="8">
        <v>-325</v>
      </c>
      <c r="C105" s="2">
        <f>'[1]Quicken Transaction no ARAP'!I450</f>
        <v>-65</v>
      </c>
      <c r="D105" s="64"/>
      <c r="E105" s="59">
        <v>0</v>
      </c>
      <c r="F105" s="59"/>
    </row>
    <row r="106" spans="1:8">
      <c r="A106" s="1" t="s">
        <v>38</v>
      </c>
      <c r="B106" s="1">
        <v>-1200</v>
      </c>
      <c r="C106" s="2">
        <v>0</v>
      </c>
      <c r="D106" s="64"/>
      <c r="E106" s="59">
        <v>-1200</v>
      </c>
      <c r="F106" s="59"/>
    </row>
    <row r="107" spans="1:8">
      <c r="A107" s="2">
        <f>SUM(B101:B107)</f>
        <v>-1675</v>
      </c>
      <c r="B107" s="1"/>
      <c r="C107" s="2"/>
      <c r="D107" s="86">
        <f>SUM(E101:E107)</f>
        <v>-1250</v>
      </c>
      <c r="E107" s="59"/>
      <c r="F107" s="59"/>
    </row>
    <row r="108" spans="1:8">
      <c r="A108" s="1"/>
      <c r="B108" s="1"/>
      <c r="C108" s="2"/>
      <c r="D108" s="64"/>
      <c r="E108" s="59"/>
      <c r="F108" s="59"/>
    </row>
    <row r="109" spans="1:8">
      <c r="A109" s="1" t="s">
        <v>39</v>
      </c>
      <c r="B109" s="1"/>
      <c r="C109" s="2"/>
      <c r="D109" s="64"/>
      <c r="E109" s="59"/>
      <c r="F109" s="59"/>
    </row>
    <row r="110" spans="1:8">
      <c r="A110" s="1" t="s">
        <v>40</v>
      </c>
      <c r="B110" s="1">
        <f>16.5*-18*38</f>
        <v>-11286</v>
      </c>
      <c r="C110" s="2">
        <f>'[1]Quicken Transaction no ARAP'!I455</f>
        <v>-8883</v>
      </c>
      <c r="D110" s="64" t="s">
        <v>158</v>
      </c>
      <c r="E110" s="59">
        <f>-13.5*38*18</f>
        <v>-9234</v>
      </c>
      <c r="F110" s="59"/>
    </row>
    <row r="111" spans="1:8">
      <c r="A111" s="1" t="s">
        <v>41</v>
      </c>
      <c r="B111" s="1">
        <f>265*5*10%*12</f>
        <v>1590</v>
      </c>
      <c r="C111" s="2">
        <f>'[1]Quicken Transaction no ARAP'!I529</f>
        <v>1142</v>
      </c>
      <c r="D111" s="64" t="s">
        <v>159</v>
      </c>
      <c r="E111" s="59">
        <v>960</v>
      </c>
      <c r="F111" s="59"/>
    </row>
    <row r="112" spans="1:8">
      <c r="A112" s="43" t="s">
        <v>118</v>
      </c>
      <c r="B112" s="43">
        <v>-1260</v>
      </c>
      <c r="C112" s="2">
        <f>'[1]Quicken Transaction no ARAP'!I482</f>
        <v>-2205</v>
      </c>
      <c r="D112" s="90" t="s">
        <v>160</v>
      </c>
      <c r="E112" s="59">
        <v>0</v>
      </c>
      <c r="F112" s="59"/>
    </row>
    <row r="113" spans="1:6">
      <c r="A113" s="1" t="s">
        <v>80</v>
      </c>
      <c r="B113" s="1">
        <f>-265*12</f>
        <v>-3180</v>
      </c>
      <c r="C113" s="2">
        <f>'[1]Quicken Transaction no ARAP'!I503</f>
        <v>-3180</v>
      </c>
      <c r="D113" s="64"/>
      <c r="E113" s="59">
        <v>-3180</v>
      </c>
      <c r="F113" s="59"/>
    </row>
    <row r="114" spans="1:6">
      <c r="A114" s="1" t="s">
        <v>81</v>
      </c>
      <c r="B114" s="1">
        <f>-315*12</f>
        <v>-3780</v>
      </c>
      <c r="C114" s="2">
        <f>'[1]Quicken Transaction no ARAP'!I516</f>
        <v>-3780</v>
      </c>
      <c r="D114" s="64"/>
      <c r="E114" s="59">
        <v>-3780</v>
      </c>
      <c r="F114" s="59"/>
    </row>
    <row r="115" spans="1:6">
      <c r="A115" s="1" t="s">
        <v>83</v>
      </c>
      <c r="B115" s="1">
        <f>-265*12</f>
        <v>-3180</v>
      </c>
      <c r="C115" s="2">
        <f>'[1]Quicken Transaction no ARAP'!I490</f>
        <v>-3180</v>
      </c>
      <c r="D115" s="88"/>
      <c r="E115" s="59">
        <v>-3180</v>
      </c>
      <c r="F115" s="63"/>
    </row>
    <row r="116" spans="1:6">
      <c r="A116" s="1" t="s">
        <v>82</v>
      </c>
      <c r="B116" s="1">
        <f>-50*12</f>
        <v>-600</v>
      </c>
      <c r="C116" s="2">
        <f>'[1]Quicken Transaction no ARAP'!I469</f>
        <v>-600</v>
      </c>
      <c r="D116" s="88"/>
      <c r="E116" s="59">
        <v>-600</v>
      </c>
      <c r="F116" s="63"/>
    </row>
    <row r="117" spans="1:6">
      <c r="A117" s="1" t="s">
        <v>42</v>
      </c>
      <c r="B117" s="1">
        <f>-285*12</f>
        <v>-3420</v>
      </c>
      <c r="C117" s="2">
        <f>'[1]Quicken Transaction no ARAP'!I542</f>
        <v>-3420</v>
      </c>
      <c r="D117" s="64"/>
      <c r="E117" s="59">
        <v>-3420</v>
      </c>
      <c r="F117" s="63"/>
    </row>
    <row r="118" spans="1:6">
      <c r="A118" s="2">
        <f>SUM(B109:B118)</f>
        <v>-25116</v>
      </c>
      <c r="B118" s="1"/>
      <c r="C118" s="2"/>
      <c r="D118" s="86">
        <f>SUM(E109:E118)</f>
        <v>-22434</v>
      </c>
      <c r="E118" s="59"/>
      <c r="F118" s="63"/>
    </row>
    <row r="119" spans="1:6">
      <c r="A119" s="1"/>
      <c r="B119" s="8"/>
      <c r="C119" s="2"/>
      <c r="D119" s="64"/>
      <c r="E119" s="59"/>
      <c r="F119" s="63"/>
    </row>
    <row r="120" spans="1:6">
      <c r="A120" s="1" t="s">
        <v>43</v>
      </c>
      <c r="B120" s="1"/>
      <c r="C120" s="2"/>
      <c r="D120" s="88"/>
      <c r="E120" s="59"/>
      <c r="F120" s="63"/>
    </row>
    <row r="121" spans="1:6">
      <c r="A121" s="8" t="s">
        <v>119</v>
      </c>
      <c r="B121" s="8">
        <v>-200</v>
      </c>
      <c r="C121" s="2">
        <v>0</v>
      </c>
      <c r="D121" s="64" t="s">
        <v>145</v>
      </c>
      <c r="E121" s="59"/>
      <c r="F121" s="63"/>
    </row>
    <row r="122" spans="1:6">
      <c r="A122" s="1" t="s">
        <v>6</v>
      </c>
      <c r="B122" s="1">
        <v>0</v>
      </c>
      <c r="C122" s="2">
        <v>0</v>
      </c>
      <c r="D122" s="64" t="s">
        <v>145</v>
      </c>
      <c r="E122" s="59"/>
      <c r="F122" s="63"/>
    </row>
    <row r="123" spans="1:6">
      <c r="A123" s="1" t="s">
        <v>7</v>
      </c>
      <c r="B123" s="1">
        <v>0</v>
      </c>
      <c r="C123" s="2"/>
      <c r="D123" s="64"/>
      <c r="E123" s="59">
        <v>0</v>
      </c>
      <c r="F123" s="63"/>
    </row>
    <row r="124" spans="1:6">
      <c r="A124" s="1" t="s">
        <v>112</v>
      </c>
      <c r="B124" s="1">
        <v>-100</v>
      </c>
      <c r="C124" s="2">
        <f>'[1]Quicken Transaction no ARAP'!I562</f>
        <v>-135</v>
      </c>
      <c r="D124" s="64"/>
      <c r="E124" s="59">
        <v>-100</v>
      </c>
      <c r="F124" s="63"/>
    </row>
    <row r="125" spans="1:6">
      <c r="A125" s="1" t="s">
        <v>8</v>
      </c>
      <c r="B125" s="1">
        <v>0</v>
      </c>
      <c r="C125" s="2"/>
      <c r="D125" s="64"/>
      <c r="E125" s="59"/>
      <c r="F125" s="63"/>
    </row>
    <row r="126" spans="1:6">
      <c r="A126" s="1" t="s">
        <v>117</v>
      </c>
      <c r="B126" s="1">
        <v>-100</v>
      </c>
      <c r="C126" s="2">
        <v>0</v>
      </c>
      <c r="D126" s="62"/>
      <c r="E126" s="59">
        <v>-100</v>
      </c>
      <c r="F126" s="63"/>
    </row>
    <row r="127" spans="1:6">
      <c r="A127" s="19" t="s">
        <v>124</v>
      </c>
      <c r="B127" s="8">
        <v>-3000</v>
      </c>
      <c r="C127" s="2">
        <f>'[1]Quicken Transaction no ARAP'!I556</f>
        <v>-2552.9499999999998</v>
      </c>
      <c r="D127" s="62"/>
      <c r="E127" s="59">
        <v>-3000</v>
      </c>
      <c r="F127" s="63"/>
    </row>
    <row r="128" spans="1:6">
      <c r="A128" s="1" t="s">
        <v>103</v>
      </c>
      <c r="B128" s="1">
        <v>0</v>
      </c>
      <c r="C128" s="2"/>
      <c r="D128" s="64" t="s">
        <v>145</v>
      </c>
      <c r="E128" s="59"/>
      <c r="F128" s="63"/>
    </row>
    <row r="129" spans="1:8">
      <c r="A129" s="1" t="s">
        <v>104</v>
      </c>
      <c r="B129" s="1">
        <v>0</v>
      </c>
      <c r="C129" s="2"/>
      <c r="D129" s="64" t="s">
        <v>145</v>
      </c>
      <c r="E129" s="91"/>
      <c r="F129" s="63"/>
      <c r="H129" s="17"/>
    </row>
    <row r="130" spans="1:8">
      <c r="A130" s="1" t="s">
        <v>10</v>
      </c>
      <c r="B130" s="1">
        <v>-2500</v>
      </c>
      <c r="C130" s="2">
        <f>'[1]Quicken Transaction no ARAP'!I564</f>
        <v>-2019</v>
      </c>
      <c r="D130" s="64"/>
      <c r="E130" s="91">
        <v>-2500</v>
      </c>
      <c r="F130" s="63"/>
    </row>
    <row r="131" spans="1:8">
      <c r="A131" s="1" t="s">
        <v>11</v>
      </c>
      <c r="B131" s="1">
        <v>0</v>
      </c>
      <c r="C131" s="2"/>
      <c r="D131" s="64"/>
      <c r="E131" s="91"/>
      <c r="F131" s="63"/>
    </row>
    <row r="132" spans="1:8">
      <c r="A132" s="1" t="s">
        <v>12</v>
      </c>
      <c r="B132" s="1">
        <v>-1000</v>
      </c>
      <c r="C132" s="2"/>
      <c r="D132" s="64"/>
      <c r="E132" s="91">
        <v>-1000</v>
      </c>
      <c r="F132" s="63"/>
    </row>
    <row r="133" spans="1:8">
      <c r="A133" s="2">
        <f>SUM(B120:B132)</f>
        <v>-6900</v>
      </c>
      <c r="B133" s="1"/>
      <c r="C133" s="2"/>
      <c r="D133" s="86">
        <f>SUM(E120:E133)</f>
        <v>-6700</v>
      </c>
      <c r="E133" s="59"/>
      <c r="F133" s="59"/>
    </row>
    <row r="134" spans="1:8">
      <c r="A134" s="1"/>
      <c r="B134" s="1"/>
      <c r="C134" s="2"/>
      <c r="D134" s="88"/>
      <c r="E134" s="59"/>
      <c r="F134" s="63"/>
    </row>
    <row r="135" spans="1:8">
      <c r="A135" s="1" t="s">
        <v>3</v>
      </c>
      <c r="B135" s="35" t="s">
        <v>141</v>
      </c>
      <c r="C135" s="2"/>
      <c r="D135" s="64"/>
      <c r="E135" s="59" t="s">
        <v>141</v>
      </c>
      <c r="F135" s="63"/>
    </row>
    <row r="136" spans="1:8">
      <c r="A136" s="1" t="s">
        <v>108</v>
      </c>
      <c r="B136" s="35">
        <f>-40*4*8</f>
        <v>-1280</v>
      </c>
      <c r="C136" s="2">
        <f>'[1]Quicken Transaction no ARAP'!I567+'[1]Quicken Transaction no ARAP'!I569+'[1]Quicken Transaction no ARAP'!I573+'[1]Quicken Transaction no ARAP'!I588+'[1]Quicken Transaction no ARAP'!I592</f>
        <v>-740</v>
      </c>
      <c r="D136" s="89" t="s">
        <v>162</v>
      </c>
      <c r="E136" s="59">
        <f>-40*3*8+80</f>
        <v>-880</v>
      </c>
      <c r="F136" s="63"/>
    </row>
    <row r="137" spans="1:8">
      <c r="A137" s="1" t="s">
        <v>109</v>
      </c>
      <c r="B137" s="35">
        <f>-120*2*6</f>
        <v>-1440</v>
      </c>
      <c r="C137" s="2">
        <f>'[1]Quicken Transaction no ARAP'!I844+'[1]Quicken Transaction no ARAP'!I845+'[1]Quicken Transaction no ARAP'!I846+'[1]Quicken Transaction no ARAP'!I847+'[1]Quicken Transaction no ARAP'!I848+'[1]Quicken Transaction no ARAP'!I849+'[1]Quicken Transaction no ARAP'!I850+'[1]Quicken Transaction no ARAP'!I851+'[1]Quicken Transaction no ARAP'!I852+'[1]Quicken Transaction no ARAP'!I853+'[1]Quicken Transaction no ARAP'!I855+'[1]Quicken Transaction no ARAP'!I857+'[1]Quicken Transaction no ARAP'!I858+'[1]Quicken Transaction no ARAP'!I859+'[1]Quicken Transaction no ARAP'!I861+'[1]Quicken Transaction no ARAP'!I862+'[1]Quicken Transaction no ARAP'!I863+'[1]Quicken Transaction no ARAP'!I864+'[1]Quicken Transaction no ARAP'!I865+'[1]Quicken Transaction no ARAP'!I868+'[1]Quicken Transaction no ARAP'!I866+'[1]Quicken Transaction no ARAP'!I869+'[1]Quicken Transaction no ARAP'!I870+'[1]Quicken Transaction no ARAP'!I871+'[1]Quicken Transaction no ARAP'!I874+'[1]Quicken Transaction no ARAP'!I875</f>
        <v>-1196</v>
      </c>
      <c r="D137" s="89" t="s">
        <v>163</v>
      </c>
      <c r="E137" s="59">
        <f>-120*2*6</f>
        <v>-1440</v>
      </c>
      <c r="F137" s="63"/>
    </row>
    <row r="138" spans="1:8">
      <c r="A138" s="1" t="s">
        <v>110</v>
      </c>
      <c r="B138" s="35">
        <f>-100*12</f>
        <v>-1200</v>
      </c>
      <c r="C138" s="2">
        <f>'[1]Quicken Transaction no ARAP'!I867+'[1]Quicken Transaction no ARAP'!I854+'[1]Quicken Transaction no ARAP'!I842+'[1]Quicken Transaction no ARAP'!I834+'[1]Quicken Transaction no ARAP'!I832-[1]Actual!C139</f>
        <v>-2557.1499999999996</v>
      </c>
      <c r="D138" s="89" t="s">
        <v>164</v>
      </c>
      <c r="E138" s="59">
        <v>-1200</v>
      </c>
      <c r="F138" s="63"/>
    </row>
    <row r="139" spans="1:8" ht="45">
      <c r="A139" s="22" t="s">
        <v>84</v>
      </c>
      <c r="B139" s="1">
        <v>-720</v>
      </c>
      <c r="C139" s="2">
        <f>'[1]Quicken Transaction no ARAP'!I596+'[1]Quicken Transaction no ARAP'!I604+'[1]Quicken Transaction no ARAP'!I616+'[1]Quicken Transaction no ARAP'!I629</f>
        <v>-720</v>
      </c>
      <c r="D139" s="89" t="s">
        <v>161</v>
      </c>
      <c r="E139" s="59">
        <v>-720</v>
      </c>
      <c r="F139" s="63"/>
    </row>
    <row r="140" spans="1:8">
      <c r="A140" s="1" t="s">
        <v>44</v>
      </c>
      <c r="B140" s="1">
        <v>-400</v>
      </c>
      <c r="C140" s="2">
        <f>'[1]Quicken Transaction no ARAP'!I777</f>
        <v>-231.26</v>
      </c>
      <c r="D140" s="64"/>
      <c r="E140" s="59">
        <v>-300</v>
      </c>
      <c r="F140" s="63"/>
    </row>
    <row r="141" spans="1:8">
      <c r="A141" s="1" t="s">
        <v>85</v>
      </c>
      <c r="B141" s="1">
        <f>-6.5-3.5-10-47*2*12</f>
        <v>-1148</v>
      </c>
      <c r="C141" s="2">
        <f>'[1]Quicken Transaction no ARAP'!I735+'[1]Quicken Transaction no ARAP'!I707+'[1]Quicken Transaction no ARAP'!I672+'[1]Quicken Transaction no ARAP'!I651+'[1]Quicken Transaction no ARAP'!I642</f>
        <v>-3432.68</v>
      </c>
      <c r="D141" s="88"/>
      <c r="E141" s="59">
        <v>-3500</v>
      </c>
      <c r="F141" s="59"/>
    </row>
    <row r="142" spans="1:8">
      <c r="A142" s="1" t="s">
        <v>111</v>
      </c>
      <c r="B142" s="1">
        <f>-6.5-3.5-10*2*12</f>
        <v>-250</v>
      </c>
      <c r="C142" s="2">
        <v>0</v>
      </c>
      <c r="D142" s="89" t="s">
        <v>137</v>
      </c>
      <c r="E142" s="59"/>
      <c r="F142" s="59"/>
    </row>
    <row r="143" spans="1:8">
      <c r="A143" s="1" t="s">
        <v>86</v>
      </c>
      <c r="B143" s="19">
        <f>-28*8*45</f>
        <v>-10080</v>
      </c>
      <c r="C143" s="2">
        <f>'[1]Quicken Transaction no ARAP'!I793+'[1]Quicken Transaction no ARAP'!I806+'[1]Quicken Transaction no ARAP'!I819+'[1]Quicken Transaction no ARAP'!I784-[1]Actual!C146-1305</f>
        <v>-16155</v>
      </c>
      <c r="D143" s="89" t="s">
        <v>165</v>
      </c>
      <c r="E143" s="59">
        <f>-45*3*52</f>
        <v>-7020</v>
      </c>
      <c r="F143" s="63"/>
    </row>
    <row r="144" spans="1:8">
      <c r="A144" s="2">
        <f>SUM(B135:B144)</f>
        <v>-16518</v>
      </c>
      <c r="B144" s="1"/>
      <c r="C144" s="2"/>
      <c r="D144" s="86">
        <f>SUM(E135:E144)</f>
        <v>-15060</v>
      </c>
      <c r="E144" s="59"/>
      <c r="F144" s="63"/>
    </row>
    <row r="145" spans="1:8">
      <c r="A145" s="1"/>
      <c r="B145" s="1"/>
      <c r="C145" s="2"/>
      <c r="D145" s="64"/>
      <c r="E145" s="59"/>
      <c r="F145" s="63"/>
    </row>
    <row r="146" spans="1:8">
      <c r="A146" s="1" t="s">
        <v>45</v>
      </c>
      <c r="B146" s="1"/>
      <c r="C146" s="2"/>
      <c r="D146" s="88"/>
      <c r="E146" s="59"/>
      <c r="F146" s="63"/>
    </row>
    <row r="147" spans="1:8">
      <c r="A147" s="1" t="s">
        <v>46</v>
      </c>
      <c r="B147" s="1">
        <v>-350</v>
      </c>
      <c r="C147" s="2">
        <f>'[1]Quicken Transaction no ARAP'!I877</f>
        <v>-350</v>
      </c>
      <c r="D147" s="64"/>
      <c r="E147" s="59">
        <v>-350</v>
      </c>
      <c r="F147" s="63"/>
      <c r="H147" s="3"/>
    </row>
    <row r="148" spans="1:8">
      <c r="A148" s="1" t="s">
        <v>47</v>
      </c>
      <c r="B148" s="1">
        <v>-1500</v>
      </c>
      <c r="C148" s="2">
        <f>'[1]Quicken Transaction no ARAP'!I878</f>
        <v>-1577</v>
      </c>
      <c r="D148" s="88"/>
      <c r="E148" s="59">
        <v>-1500</v>
      </c>
      <c r="F148" s="63"/>
    </row>
    <row r="149" spans="1:8">
      <c r="A149" s="1" t="s">
        <v>48</v>
      </c>
      <c r="B149" s="1">
        <v>-500</v>
      </c>
      <c r="C149" s="2">
        <f>'[1]Quicken Transaction no ARAP'!I879</f>
        <v>-1286</v>
      </c>
      <c r="D149" s="64"/>
      <c r="E149" s="59">
        <v>-500</v>
      </c>
      <c r="F149" s="63"/>
    </row>
    <row r="150" spans="1:8">
      <c r="A150" s="40" t="s">
        <v>120</v>
      </c>
      <c r="B150" s="40">
        <v>-200</v>
      </c>
      <c r="C150" s="2">
        <v>0</v>
      </c>
      <c r="D150" s="89" t="s">
        <v>166</v>
      </c>
      <c r="E150" s="59">
        <v>-200</v>
      </c>
      <c r="F150" s="63"/>
    </row>
    <row r="151" spans="1:8">
      <c r="A151" s="2">
        <f>SUM(B146:B151)</f>
        <v>-2550</v>
      </c>
      <c r="B151" s="1"/>
      <c r="C151" s="2"/>
      <c r="D151" s="92">
        <f>SUM(E146:E151)</f>
        <v>-2550</v>
      </c>
      <c r="E151" s="59"/>
      <c r="F151" s="59"/>
    </row>
    <row r="152" spans="1:8">
      <c r="A152" s="1"/>
      <c r="B152" s="1"/>
      <c r="C152" s="2"/>
      <c r="D152" s="64"/>
      <c r="E152" s="59"/>
      <c r="F152" s="59"/>
    </row>
    <row r="153" spans="1:8">
      <c r="A153" s="1"/>
      <c r="B153" s="1"/>
      <c r="C153" s="2"/>
      <c r="D153" s="64"/>
      <c r="E153" s="59"/>
      <c r="F153" s="59"/>
    </row>
    <row r="154" spans="1:8">
      <c r="A154" s="1" t="s">
        <v>99</v>
      </c>
      <c r="B154" s="1"/>
      <c r="C154" s="2"/>
      <c r="D154" s="64"/>
      <c r="E154" s="59"/>
      <c r="F154" s="59"/>
    </row>
    <row r="155" spans="1:8">
      <c r="A155" s="1" t="s">
        <v>49</v>
      </c>
      <c r="B155" s="1">
        <v>-750</v>
      </c>
      <c r="C155" s="2">
        <f>'[1]Quicken Transaction no ARAP'!I884+'[1]Quicken Transaction no ARAP'!I885</f>
        <v>-750</v>
      </c>
      <c r="D155" s="88"/>
      <c r="E155" s="59">
        <v>-750</v>
      </c>
      <c r="F155" s="59"/>
    </row>
    <row r="156" spans="1:8">
      <c r="A156" s="1" t="s">
        <v>50</v>
      </c>
      <c r="B156" s="1">
        <v>-250</v>
      </c>
      <c r="C156" s="2">
        <f>'[1]Quicken Transaction no ARAP'!I883+'[1]Quicken Transaction no ARAP'!I886</f>
        <v>-175</v>
      </c>
      <c r="D156" s="64"/>
      <c r="E156" s="59">
        <v>-175</v>
      </c>
      <c r="F156" s="59"/>
    </row>
    <row r="157" spans="1:8">
      <c r="A157" s="1" t="s">
        <v>138</v>
      </c>
      <c r="B157" s="1">
        <v>0</v>
      </c>
      <c r="C157" s="2">
        <f>'[1]Quicken Transaction no ARAP'!I880</f>
        <v>-150</v>
      </c>
      <c r="D157" s="64" t="s">
        <v>155</v>
      </c>
      <c r="E157" s="59">
        <v>0</v>
      </c>
      <c r="F157" s="59"/>
    </row>
    <row r="158" spans="1:8">
      <c r="A158" s="2">
        <f>SUM(B154:B157)</f>
        <v>-1000</v>
      </c>
      <c r="B158" s="1"/>
      <c r="C158" s="2"/>
      <c r="D158" s="92">
        <f>SUM(E154:E158)</f>
        <v>-925</v>
      </c>
      <c r="E158" s="59"/>
      <c r="F158" s="59"/>
    </row>
    <row r="159" spans="1:8">
      <c r="A159" s="1"/>
      <c r="B159" s="1"/>
      <c r="C159" s="2"/>
      <c r="D159" s="64"/>
      <c r="E159" s="59"/>
      <c r="F159" s="59"/>
    </row>
    <row r="160" spans="1:8">
      <c r="A160" s="1"/>
      <c r="B160" s="1"/>
      <c r="C160" s="2"/>
      <c r="D160" s="88"/>
      <c r="E160" s="59"/>
      <c r="F160" s="59"/>
    </row>
    <row r="161" spans="1:9">
      <c r="A161" s="1" t="s">
        <v>51</v>
      </c>
      <c r="B161" s="1"/>
      <c r="C161" s="2"/>
      <c r="D161" s="88"/>
      <c r="E161" s="59"/>
      <c r="F161" s="59"/>
    </row>
    <row r="162" spans="1:9">
      <c r="A162" s="1" t="s">
        <v>52</v>
      </c>
      <c r="B162" s="1">
        <v>0</v>
      </c>
      <c r="C162" s="2">
        <v>0</v>
      </c>
      <c r="D162" s="88"/>
      <c r="E162" s="59"/>
      <c r="F162" s="59"/>
    </row>
    <row r="163" spans="1:9">
      <c r="A163" s="1" t="s">
        <v>53</v>
      </c>
      <c r="B163" s="1">
        <v>-125</v>
      </c>
      <c r="C163" s="2">
        <f>'[1]Quicken Transaction no ARAP'!I888+'[1]Quicken Transaction no ARAP'!I921</f>
        <v>-249.70000000000002</v>
      </c>
      <c r="D163" s="64"/>
      <c r="E163" s="59">
        <v>-250</v>
      </c>
      <c r="F163" s="59"/>
    </row>
    <row r="164" spans="1:9">
      <c r="A164" s="1" t="s">
        <v>54</v>
      </c>
      <c r="B164" s="1">
        <v>-50</v>
      </c>
      <c r="C164" s="2">
        <f>'[1]Quicken Transaction no ARAP'!I926</f>
        <v>-110.48</v>
      </c>
      <c r="D164" s="64"/>
      <c r="E164" s="59">
        <v>-100</v>
      </c>
      <c r="F164" s="59"/>
    </row>
    <row r="165" spans="1:9">
      <c r="A165" s="1" t="s">
        <v>55</v>
      </c>
      <c r="B165" s="1">
        <v>-125</v>
      </c>
      <c r="C165" s="2">
        <f>'[1]Quicken Transaction no ARAP'!I924</f>
        <v>-108.92</v>
      </c>
      <c r="D165" s="64"/>
      <c r="E165" s="59">
        <v>-100</v>
      </c>
      <c r="F165" s="59"/>
    </row>
    <row r="166" spans="1:9">
      <c r="A166" s="1" t="s">
        <v>56</v>
      </c>
      <c r="B166" s="1">
        <v>-125</v>
      </c>
      <c r="C166" s="2">
        <f>'[1]Quicken Transaction no ARAP'!I930</f>
        <v>-139.01</v>
      </c>
      <c r="D166" s="88"/>
      <c r="E166" s="59">
        <v>-140</v>
      </c>
      <c r="F166" s="59"/>
      <c r="I166" s="3"/>
    </row>
    <row r="167" spans="1:9">
      <c r="A167" s="1" t="s">
        <v>87</v>
      </c>
      <c r="B167" s="1">
        <v>0</v>
      </c>
      <c r="C167" s="2">
        <v>0</v>
      </c>
      <c r="D167" s="92">
        <f>SUM(E162:E167)</f>
        <v>-590</v>
      </c>
      <c r="E167" s="59"/>
      <c r="F167" s="59"/>
      <c r="H167" s="3"/>
    </row>
    <row r="168" spans="1:9">
      <c r="A168" s="2">
        <f>SUM(B161:B168)</f>
        <v>-425</v>
      </c>
      <c r="B168" s="1"/>
      <c r="C168" s="2"/>
      <c r="D168" s="88"/>
      <c r="E168" s="59"/>
      <c r="F168" s="59"/>
    </row>
    <row r="169" spans="1:9">
      <c r="A169" s="1"/>
      <c r="B169" s="1"/>
      <c r="C169" s="2"/>
      <c r="D169" s="88"/>
      <c r="E169" s="59"/>
      <c r="F169" s="59"/>
    </row>
    <row r="170" spans="1:9">
      <c r="A170" s="1" t="s">
        <v>57</v>
      </c>
      <c r="B170" s="1"/>
      <c r="C170" s="2"/>
      <c r="D170" s="64"/>
      <c r="E170" s="59"/>
      <c r="F170" s="59"/>
    </row>
    <row r="171" spans="1:9">
      <c r="A171" s="1" t="s">
        <v>58</v>
      </c>
      <c r="B171" s="1">
        <v>-200</v>
      </c>
      <c r="C171" s="2">
        <f>'[1]Quicken Transaction no ARAP'!I946</f>
        <v>-275</v>
      </c>
      <c r="D171" s="89" t="s">
        <v>167</v>
      </c>
      <c r="E171" s="59">
        <v>-275</v>
      </c>
      <c r="F171" s="59"/>
    </row>
    <row r="172" spans="1:9">
      <c r="A172" s="1" t="s">
        <v>88</v>
      </c>
      <c r="B172" s="1">
        <v>-75</v>
      </c>
      <c r="C172" s="2">
        <f>'[1]Quicken Transaction no ARAP'!I944</f>
        <v>-25</v>
      </c>
      <c r="D172" s="64"/>
      <c r="E172" s="59">
        <v>-25</v>
      </c>
      <c r="F172" s="59"/>
    </row>
    <row r="173" spans="1:9">
      <c r="A173" s="2">
        <f>SUM(B170:B173)</f>
        <v>-275</v>
      </c>
      <c r="B173" s="1"/>
      <c r="C173" s="2"/>
      <c r="D173" s="86">
        <f>SUM(E170:E173)</f>
        <v>-300</v>
      </c>
      <c r="E173" s="59"/>
      <c r="F173" s="59"/>
    </row>
    <row r="174" spans="1:9">
      <c r="A174" s="1"/>
      <c r="B174" s="1"/>
      <c r="C174" s="2"/>
      <c r="D174" s="88"/>
      <c r="E174" s="59"/>
      <c r="F174" s="59"/>
    </row>
    <row r="175" spans="1:9">
      <c r="A175" s="1" t="s">
        <v>59</v>
      </c>
      <c r="B175" s="1"/>
      <c r="C175" s="2"/>
      <c r="D175" s="88"/>
      <c r="E175" s="59"/>
      <c r="F175" s="59"/>
    </row>
    <row r="176" spans="1:9">
      <c r="A176" s="1" t="s">
        <v>60</v>
      </c>
      <c r="B176" s="1">
        <v>0</v>
      </c>
      <c r="C176" s="2"/>
      <c r="D176" s="88"/>
      <c r="E176" s="59"/>
      <c r="F176" s="59"/>
    </row>
    <row r="177" spans="1:7">
      <c r="A177" s="1" t="s">
        <v>61</v>
      </c>
      <c r="B177" s="1">
        <v>-250</v>
      </c>
      <c r="C177" s="2">
        <f>'[1]Quicken Transaction no ARAP'!I963</f>
        <v>-158</v>
      </c>
      <c r="D177" s="64"/>
      <c r="E177" s="59">
        <v>-200</v>
      </c>
      <c r="F177" s="59"/>
    </row>
    <row r="178" spans="1:7">
      <c r="A178" s="1" t="s">
        <v>62</v>
      </c>
      <c r="B178" s="1">
        <v>-400</v>
      </c>
      <c r="C178" s="4">
        <f>'[1]Quicken Transaction no ARAP'!I970</f>
        <v>-130.84</v>
      </c>
      <c r="D178" s="93"/>
      <c r="E178" s="59">
        <v>-200</v>
      </c>
      <c r="F178" s="59"/>
      <c r="G178" s="3"/>
    </row>
    <row r="179" spans="1:7">
      <c r="A179" s="1" t="s">
        <v>63</v>
      </c>
      <c r="B179" s="1">
        <v>-100</v>
      </c>
      <c r="C179" s="4">
        <f>'[1]Quicken Transaction no ARAP'!I949</f>
        <v>-114.89</v>
      </c>
      <c r="D179" s="64"/>
      <c r="E179" s="59">
        <v>-150</v>
      </c>
      <c r="F179" s="76"/>
    </row>
    <row r="180" spans="1:7">
      <c r="A180" s="1" t="s">
        <v>64</v>
      </c>
      <c r="B180" s="1">
        <v>-175</v>
      </c>
      <c r="C180" s="4">
        <f>'[1]Quicken Transaction no ARAP'!I982</f>
        <v>-323.89</v>
      </c>
      <c r="D180" s="86"/>
      <c r="E180" s="59">
        <v>-200</v>
      </c>
      <c r="F180" s="59"/>
    </row>
    <row r="181" spans="1:7">
      <c r="A181" s="1" t="s">
        <v>15</v>
      </c>
      <c r="B181" s="1">
        <v>-5000</v>
      </c>
      <c r="C181" s="4"/>
      <c r="D181" s="62"/>
      <c r="E181" s="59"/>
      <c r="F181" s="59"/>
    </row>
    <row r="182" spans="1:7" ht="21">
      <c r="A182" s="1" t="s">
        <v>65</v>
      </c>
      <c r="B182" s="1">
        <v>-500</v>
      </c>
      <c r="C182" s="28">
        <f>'[1]Quicken Transaction no ARAP'!I968+'[1]Quicken Transaction no ARAP'!I957</f>
        <v>-120.5</v>
      </c>
      <c r="D182" s="94"/>
      <c r="E182" s="59">
        <v>-150</v>
      </c>
      <c r="F182" s="63"/>
    </row>
    <row r="183" spans="1:7">
      <c r="A183" s="1" t="s">
        <v>66</v>
      </c>
      <c r="B183" s="1">
        <v>-1000</v>
      </c>
      <c r="C183" s="4">
        <f>'[1]Quicken Transaction no ARAP'!I975</f>
        <v>-258.04000000000002</v>
      </c>
      <c r="D183" s="62"/>
      <c r="E183" s="59">
        <v>-200</v>
      </c>
      <c r="F183" s="63"/>
    </row>
    <row r="184" spans="1:7">
      <c r="A184" s="1"/>
      <c r="B184" s="1"/>
      <c r="C184" s="2"/>
      <c r="D184" s="86">
        <f>SUM(E176:E184)</f>
        <v>-1100</v>
      </c>
      <c r="E184" s="59"/>
      <c r="F184" s="63"/>
    </row>
    <row r="185" spans="1:7">
      <c r="A185" s="2">
        <f>SUM(B175:B185)</f>
        <v>-7425</v>
      </c>
      <c r="B185" s="1"/>
      <c r="C185" s="2"/>
      <c r="D185" s="62"/>
      <c r="E185" s="59"/>
      <c r="F185" s="63"/>
    </row>
    <row r="186" spans="1:7">
      <c r="A186" s="1"/>
      <c r="B186" s="1"/>
      <c r="C186" s="2"/>
      <c r="D186" s="63"/>
      <c r="E186" s="59"/>
      <c r="F186" s="63"/>
    </row>
    <row r="187" spans="1:7">
      <c r="A187" s="22" t="s">
        <v>67</v>
      </c>
      <c r="B187" s="1"/>
      <c r="C187" s="2"/>
      <c r="D187" s="63"/>
      <c r="E187" s="65"/>
      <c r="F187" s="63"/>
    </row>
    <row r="188" spans="1:7">
      <c r="A188" s="1" t="s">
        <v>68</v>
      </c>
      <c r="B188" s="1">
        <v>-100</v>
      </c>
      <c r="C188" s="2"/>
      <c r="D188" s="63"/>
      <c r="E188" s="59"/>
      <c r="F188" s="63"/>
    </row>
    <row r="189" spans="1:7">
      <c r="A189" s="1" t="s">
        <v>69</v>
      </c>
      <c r="B189" s="1">
        <v>-100</v>
      </c>
      <c r="C189" s="2"/>
      <c r="D189" s="63"/>
      <c r="E189" s="59"/>
      <c r="F189" s="63"/>
    </row>
    <row r="190" spans="1:7">
      <c r="A190" s="1" t="s">
        <v>70</v>
      </c>
      <c r="B190" s="1">
        <v>-100</v>
      </c>
      <c r="C190" s="2">
        <f>'[1]Quicken Transaction no ARAP'!I987</f>
        <v>-59</v>
      </c>
      <c r="D190" s="95" t="s">
        <v>168</v>
      </c>
      <c r="E190" s="59">
        <f>-59*4</f>
        <v>-236</v>
      </c>
      <c r="F190" s="63"/>
    </row>
    <row r="191" spans="1:7">
      <c r="A191" s="2">
        <f>SUM(B187:B191)</f>
        <v>-300</v>
      </c>
      <c r="B191" s="1"/>
      <c r="C191" s="2"/>
      <c r="D191" s="96">
        <f>SUM(E189:E191)</f>
        <v>-236</v>
      </c>
      <c r="E191" s="59"/>
      <c r="F191" s="63"/>
    </row>
    <row r="192" spans="1:7">
      <c r="A192" s="1"/>
      <c r="B192" s="1"/>
      <c r="C192" s="2"/>
      <c r="D192" s="63"/>
      <c r="E192" s="65"/>
      <c r="F192" s="63"/>
    </row>
    <row r="193" spans="1:6">
      <c r="A193" s="1" t="s">
        <v>100</v>
      </c>
      <c r="B193" s="1"/>
      <c r="C193" s="2"/>
      <c r="D193" s="63"/>
      <c r="E193" s="65"/>
      <c r="F193" s="63"/>
    </row>
    <row r="194" spans="1:6">
      <c r="A194" s="1" t="s">
        <v>71</v>
      </c>
      <c r="B194" s="2">
        <f>SUM(B86:B193)</f>
        <v>-88060</v>
      </c>
      <c r="C194" s="2">
        <f>SUM(C86:C193)</f>
        <v>-83633.39999999998</v>
      </c>
      <c r="D194" s="96">
        <f>D191+D184+D167+D158+D151+D144+D133+D118+D107+D99+D173</f>
        <v>-74501</v>
      </c>
      <c r="E194" s="59">
        <f>SUM(E86:E193)</f>
        <v>-74501</v>
      </c>
      <c r="F194" s="63"/>
    </row>
    <row r="195" spans="1:6">
      <c r="A195" s="1"/>
      <c r="B195" s="1" t="s">
        <v>169</v>
      </c>
      <c r="C195" s="2"/>
      <c r="D195" s="63"/>
      <c r="E195" s="59"/>
      <c r="F195" s="63"/>
    </row>
    <row r="196" spans="1:6">
      <c r="A196" s="1"/>
      <c r="B196" s="1"/>
      <c r="C196" s="2"/>
      <c r="D196" s="63"/>
      <c r="E196" s="59"/>
      <c r="F196" s="59"/>
    </row>
    <row r="197" spans="1:6">
      <c r="A197" s="1" t="s">
        <v>101</v>
      </c>
      <c r="B197" s="44"/>
      <c r="C197" s="56">
        <f>C80+C194</f>
        <v>-7256.269999999975</v>
      </c>
      <c r="D197" s="96">
        <f>D81+D194</f>
        <v>9669</v>
      </c>
      <c r="E197" s="59"/>
      <c r="F197" s="59"/>
    </row>
    <row r="198" spans="1:6">
      <c r="A198" s="1" t="s">
        <v>89</v>
      </c>
      <c r="B198" s="2"/>
      <c r="C198" s="53" t="s">
        <v>121</v>
      </c>
      <c r="D198" s="97" t="s">
        <v>106</v>
      </c>
      <c r="E198" s="59"/>
      <c r="F198" s="59"/>
    </row>
    <row r="199" spans="1:6">
      <c r="A199" s="8"/>
      <c r="B199" s="8"/>
      <c r="C199" s="18"/>
      <c r="D199"/>
    </row>
    <row r="200" spans="1:6">
      <c r="A200" s="8"/>
      <c r="B200" s="8"/>
      <c r="C200" s="18"/>
      <c r="D200"/>
    </row>
    <row r="201" spans="1:6">
      <c r="A201" s="8"/>
      <c r="B201" s="8"/>
      <c r="C201" s="18"/>
      <c r="D201" s="3"/>
    </row>
    <row r="202" spans="1:6">
      <c r="A202" s="8"/>
      <c r="B202" s="8"/>
      <c r="C202" s="18"/>
      <c r="D202" s="3"/>
    </row>
    <row r="203" spans="1:6">
      <c r="A203" s="8"/>
      <c r="B203" s="8"/>
      <c r="C203" s="18"/>
      <c r="D203" s="8"/>
    </row>
    <row r="204" spans="1:6">
      <c r="A204" s="8"/>
      <c r="B204" s="8"/>
      <c r="C204" s="18"/>
      <c r="D204" s="8"/>
    </row>
    <row r="205" spans="1:6">
      <c r="A205" s="8"/>
      <c r="B205" s="8"/>
      <c r="C205" s="18"/>
      <c r="D205" s="8"/>
    </row>
    <row r="206" spans="1:6">
      <c r="A206" s="8"/>
      <c r="B206" s="8"/>
      <c r="C206" s="18"/>
      <c r="D206" s="8"/>
      <c r="E206" s="18"/>
    </row>
    <row r="207" spans="1:6">
      <c r="A207" s="8"/>
      <c r="B207" s="8"/>
      <c r="C207" s="18"/>
      <c r="D207" s="8"/>
    </row>
    <row r="208" spans="1:6">
      <c r="A208" s="8"/>
      <c r="B208" s="8"/>
      <c r="C208" s="18"/>
      <c r="D208" s="18"/>
      <c r="E208" s="18"/>
    </row>
    <row r="209" spans="1:5">
      <c r="A209" s="8"/>
      <c r="B209" s="8"/>
      <c r="C209" s="18"/>
      <c r="D209" s="18"/>
      <c r="E209" s="18"/>
    </row>
    <row r="210" spans="1:5">
      <c r="A210" s="8"/>
      <c r="B210" s="8"/>
      <c r="C210" s="18"/>
      <c r="D210" s="18"/>
      <c r="E210" s="18"/>
    </row>
    <row r="211" spans="1:5">
      <c r="A211" s="8"/>
      <c r="B211" s="8"/>
      <c r="C211" s="18"/>
      <c r="D211" s="8"/>
    </row>
    <row r="212" spans="1:5">
      <c r="A212" s="8"/>
      <c r="B212" s="8"/>
      <c r="C212" s="18"/>
      <c r="D212" s="8"/>
    </row>
    <row r="213" spans="1:5">
      <c r="A213" s="8"/>
      <c r="B213" s="8"/>
      <c r="C213" s="18"/>
      <c r="D213" s="8"/>
    </row>
    <row r="214" spans="1:5">
      <c r="A214" s="10"/>
      <c r="B214" s="10"/>
      <c r="C214" s="10"/>
      <c r="D214" s="8"/>
    </row>
    <row r="215" spans="1:5">
      <c r="A215" s="10"/>
      <c r="B215" s="10"/>
      <c r="C215" s="10"/>
      <c r="D215" s="8"/>
      <c r="E215" s="10"/>
    </row>
    <row r="216" spans="1:5">
      <c r="A216" s="10"/>
      <c r="B216" s="10"/>
      <c r="C216" s="10"/>
      <c r="D216" s="8"/>
      <c r="E216" s="10"/>
    </row>
    <row r="217" spans="1:5">
      <c r="A217" s="8"/>
      <c r="B217" s="10"/>
      <c r="C217" s="8"/>
      <c r="D217" s="8"/>
    </row>
    <row r="218" spans="1:5">
      <c r="A218" s="10"/>
      <c r="B218" s="10"/>
      <c r="C218" s="8"/>
      <c r="D218" s="8"/>
    </row>
    <row r="219" spans="1:5">
      <c r="A219" s="10"/>
      <c r="B219" s="10"/>
      <c r="C219" s="8"/>
      <c r="D219" s="8"/>
    </row>
    <row r="220" spans="1:5">
      <c r="A220" s="10"/>
      <c r="B220" s="10"/>
      <c r="C220" s="8"/>
      <c r="D220" s="8"/>
    </row>
    <row r="221" spans="1:5">
      <c r="A221" s="10"/>
      <c r="B221" s="10"/>
      <c r="C221" s="8"/>
      <c r="D221" s="8"/>
    </row>
    <row r="222" spans="1:5">
      <c r="A222" s="10"/>
      <c r="B222" s="10"/>
      <c r="C222" s="8"/>
      <c r="D222" s="8"/>
    </row>
    <row r="223" spans="1:5">
      <c r="A223" s="10"/>
      <c r="B223" s="10"/>
      <c r="C223" s="8"/>
      <c r="D223" s="8"/>
      <c r="E223" s="10"/>
    </row>
    <row r="224" spans="1:5">
      <c r="A224" s="10"/>
      <c r="B224" s="8"/>
      <c r="C224" s="8"/>
      <c r="D224" s="8"/>
    </row>
    <row r="225" spans="1:5">
      <c r="A225" s="10"/>
      <c r="B225" s="10"/>
      <c r="C225" s="8"/>
      <c r="D225" s="8"/>
    </row>
    <row r="226" spans="1:5">
      <c r="A226" s="8"/>
      <c r="B226" s="10"/>
      <c r="C226" s="8"/>
      <c r="D226" s="8"/>
    </row>
    <row r="227" spans="1:5">
      <c r="A227" s="10"/>
      <c r="B227" s="10"/>
      <c r="C227" s="8"/>
      <c r="D227" s="8"/>
    </row>
    <row r="228" spans="1:5">
      <c r="A228" s="10"/>
      <c r="B228" s="10"/>
      <c r="C228" s="8"/>
      <c r="D228" s="8"/>
      <c r="E228" s="10"/>
    </row>
    <row r="229" spans="1:5">
      <c r="A229" s="10"/>
      <c r="B229" s="10"/>
      <c r="C229" s="8"/>
      <c r="D229" s="8"/>
    </row>
    <row r="230" spans="1:5">
      <c r="A230" s="10"/>
      <c r="B230" s="10"/>
      <c r="C230" s="8"/>
      <c r="D230" s="8"/>
    </row>
    <row r="231" spans="1:5">
      <c r="A231" s="10"/>
      <c r="B231" s="10"/>
      <c r="C231" s="8"/>
      <c r="D231" s="8"/>
      <c r="E231" s="10"/>
    </row>
    <row r="232" spans="1:5">
      <c r="A232" s="10"/>
      <c r="B232" s="10"/>
      <c r="C232" s="8"/>
      <c r="D232" s="8"/>
    </row>
    <row r="233" spans="1:5">
      <c r="A233" s="10"/>
      <c r="B233" s="10"/>
      <c r="C233" s="8"/>
      <c r="D233" s="8"/>
      <c r="E233" s="10"/>
    </row>
    <row r="234" spans="1:5">
      <c r="A234" s="10"/>
      <c r="B234" s="10"/>
      <c r="C234" s="8"/>
      <c r="D234" s="8"/>
    </row>
    <row r="235" spans="1:5">
      <c r="A235" s="8"/>
      <c r="B235" s="10"/>
      <c r="C235" s="54"/>
      <c r="D235" s="8"/>
    </row>
    <row r="236" spans="1:5">
      <c r="A236" s="8"/>
      <c r="B236" s="10"/>
      <c r="C236" s="54"/>
      <c r="D236" s="8"/>
    </row>
    <row r="237" spans="1:5">
      <c r="A237" s="8"/>
      <c r="B237" s="10"/>
      <c r="C237" s="54"/>
      <c r="D237" s="8"/>
    </row>
    <row r="238" spans="1:5">
      <c r="A238" s="8"/>
      <c r="B238" s="10"/>
      <c r="C238" s="54"/>
      <c r="D238" s="8"/>
    </row>
    <row r="239" spans="1:5">
      <c r="A239" s="8"/>
      <c r="B239" s="10"/>
      <c r="C239" s="54"/>
      <c r="D239" s="8"/>
    </row>
    <row r="240" spans="1:5">
      <c r="A240" s="8"/>
      <c r="B240" s="10"/>
      <c r="C240" s="54"/>
      <c r="D240" s="8"/>
    </row>
    <row r="241" spans="1:4">
      <c r="A241" s="8"/>
      <c r="B241" s="10"/>
      <c r="C241" s="54"/>
      <c r="D241" s="8"/>
    </row>
    <row r="242" spans="1:4">
      <c r="A242" s="8"/>
      <c r="B242" s="10"/>
      <c r="C242" s="54"/>
      <c r="D242" s="8"/>
    </row>
    <row r="243" spans="1:4">
      <c r="A243" s="8"/>
      <c r="B243" s="10"/>
      <c r="C243" s="54"/>
      <c r="D243" s="8"/>
    </row>
    <row r="244" spans="1:4">
      <c r="A244" s="8"/>
      <c r="B244" s="10"/>
      <c r="C244" s="54"/>
      <c r="D244" s="8"/>
    </row>
    <row r="245" spans="1:4">
      <c r="A245" s="8"/>
      <c r="B245" s="10"/>
      <c r="C245" s="54"/>
      <c r="D245" s="8"/>
    </row>
    <row r="246" spans="1:4">
      <c r="A246" s="8"/>
      <c r="B246" s="10"/>
      <c r="C246" s="54"/>
      <c r="D246" s="8"/>
    </row>
    <row r="247" spans="1:4">
      <c r="A247" s="8"/>
      <c r="B247" s="10"/>
      <c r="C247" s="54"/>
      <c r="D247" s="8"/>
    </row>
    <row r="248" spans="1:4">
      <c r="A248" s="8"/>
      <c r="B248" s="10"/>
      <c r="C248" s="54"/>
      <c r="D248" s="8"/>
    </row>
    <row r="249" spans="1:4">
      <c r="A249" s="8"/>
      <c r="B249" s="10"/>
      <c r="C249" s="54"/>
      <c r="D249" s="8"/>
    </row>
    <row r="250" spans="1:4">
      <c r="A250" s="8"/>
      <c r="B250" s="10"/>
      <c r="C250" s="54"/>
      <c r="D250" s="8"/>
    </row>
    <row r="251" spans="1:4">
      <c r="A251" s="8"/>
      <c r="B251" s="10"/>
      <c r="C251" s="54"/>
      <c r="D251" s="8"/>
    </row>
    <row r="252" spans="1:4">
      <c r="A252" s="8"/>
      <c r="B252" s="10"/>
      <c r="C252" s="54"/>
      <c r="D252" s="8"/>
    </row>
    <row r="253" spans="1:4">
      <c r="A253" s="8"/>
      <c r="B253" s="10"/>
      <c r="C253" s="54"/>
      <c r="D253" s="8"/>
    </row>
    <row r="254" spans="1:4">
      <c r="A254" s="8"/>
      <c r="B254" s="10"/>
      <c r="C254" s="54"/>
      <c r="D254" s="8"/>
    </row>
    <row r="255" spans="1:4">
      <c r="A255" s="8"/>
      <c r="B255" s="10"/>
      <c r="C255" s="54"/>
      <c r="D255" s="8"/>
    </row>
    <row r="256" spans="1:4">
      <c r="A256" s="8"/>
      <c r="B256" s="10"/>
      <c r="C256" s="54"/>
      <c r="D256" s="8"/>
    </row>
    <row r="257" spans="1:7">
      <c r="A257" s="8"/>
      <c r="B257" s="10"/>
      <c r="C257" s="54"/>
      <c r="D257" s="8"/>
    </row>
    <row r="258" spans="1:7">
      <c r="A258" s="8"/>
      <c r="B258" s="10"/>
      <c r="C258" s="54"/>
      <c r="D258" s="8"/>
    </row>
    <row r="259" spans="1:7">
      <c r="A259" s="8"/>
      <c r="B259" s="10"/>
      <c r="C259" s="54"/>
      <c r="D259" s="8"/>
    </row>
    <row r="260" spans="1:7">
      <c r="A260" s="8"/>
      <c r="B260" s="10"/>
      <c r="C260" s="54"/>
      <c r="D260" s="9"/>
    </row>
    <row r="261" spans="1:7">
      <c r="A261" s="8"/>
      <c r="B261" s="10"/>
      <c r="C261" s="54"/>
      <c r="D261" s="9"/>
      <c r="F261"/>
      <c r="G261" s="1"/>
    </row>
    <row r="262" spans="1:7">
      <c r="A262" s="8"/>
      <c r="B262" s="10"/>
      <c r="C262" s="54"/>
      <c r="D262" s="9"/>
      <c r="F262"/>
      <c r="G262" s="1"/>
    </row>
    <row r="263" spans="1:7">
      <c r="A263" s="8"/>
      <c r="B263" s="10"/>
      <c r="C263" s="10"/>
      <c r="D263" s="10"/>
      <c r="E263" s="10"/>
      <c r="F263"/>
      <c r="G263" s="1"/>
    </row>
    <row r="264" spans="1:7">
      <c r="A264" s="8"/>
      <c r="B264" s="10"/>
      <c r="C264" s="10"/>
      <c r="D264" s="10"/>
      <c r="E264" s="10"/>
      <c r="G264" s="1"/>
    </row>
    <row r="265" spans="1:7">
      <c r="A265" s="8"/>
      <c r="B265" s="10"/>
      <c r="C265" s="10"/>
      <c r="D265" s="10"/>
      <c r="E265" s="10"/>
      <c r="G265" s="1"/>
    </row>
    <row r="266" spans="1:7">
      <c r="A266" s="8"/>
      <c r="B266" s="10"/>
      <c r="C266" s="10"/>
      <c r="D266" s="10"/>
      <c r="E266" s="10"/>
      <c r="G266" s="1"/>
    </row>
    <row r="267" spans="1:7">
      <c r="A267" s="8"/>
      <c r="B267" s="10"/>
      <c r="C267" s="10"/>
      <c r="D267" s="10"/>
      <c r="E267" s="10"/>
      <c r="G267" s="1"/>
    </row>
    <row r="268" spans="1:7">
      <c r="A268" s="8"/>
      <c r="B268" s="10"/>
      <c r="C268" s="10"/>
      <c r="D268" s="10"/>
      <c r="E268" s="10"/>
      <c r="G268" s="1"/>
    </row>
    <row r="269" spans="1:7">
      <c r="A269" s="8"/>
      <c r="B269" s="10"/>
      <c r="C269" s="10"/>
      <c r="D269" s="10"/>
      <c r="E269" s="10"/>
      <c r="G269" s="1"/>
    </row>
    <row r="270" spans="1:7">
      <c r="A270" s="8"/>
      <c r="B270" s="10"/>
      <c r="C270" s="10"/>
      <c r="D270" s="10"/>
      <c r="E270" s="10"/>
      <c r="G270" s="1"/>
    </row>
    <row r="271" spans="1:7">
      <c r="A271" s="8"/>
      <c r="B271" s="10"/>
      <c r="C271" s="10"/>
      <c r="D271" s="10"/>
      <c r="E271" s="10"/>
      <c r="G271" s="1"/>
    </row>
    <row r="272" spans="1:7">
      <c r="A272" s="8"/>
      <c r="B272" s="10"/>
      <c r="C272" s="10"/>
      <c r="D272" s="10"/>
      <c r="E272" s="10"/>
      <c r="G272" s="1"/>
    </row>
    <row r="273" spans="1:7">
      <c r="A273" s="8"/>
      <c r="B273" s="10"/>
      <c r="C273" s="10"/>
      <c r="D273" s="10"/>
      <c r="E273" s="10"/>
      <c r="G273" s="1"/>
    </row>
    <row r="274" spans="1:7">
      <c r="A274" s="8"/>
      <c r="B274" s="10"/>
      <c r="C274" s="10"/>
      <c r="D274" s="10"/>
      <c r="E274" s="10"/>
      <c r="G274" s="1"/>
    </row>
    <row r="275" spans="1:7">
      <c r="A275" s="8"/>
      <c r="B275" s="10"/>
      <c r="C275" s="10"/>
      <c r="D275" s="10"/>
      <c r="E275" s="10"/>
      <c r="G275" s="1"/>
    </row>
    <row r="276" spans="1:7">
      <c r="A276" s="8"/>
      <c r="B276" s="10"/>
      <c r="C276" s="10"/>
      <c r="D276" s="10"/>
      <c r="E276" s="10"/>
      <c r="G276" s="1"/>
    </row>
    <row r="277" spans="1:7">
      <c r="A277" s="8"/>
      <c r="B277" s="10"/>
      <c r="C277" s="10"/>
      <c r="D277" s="10"/>
      <c r="E277" s="10"/>
    </row>
    <row r="278" spans="1:7">
      <c r="A278" s="8"/>
      <c r="B278" s="10"/>
      <c r="C278" s="10"/>
      <c r="D278" s="10"/>
      <c r="E278" s="10"/>
      <c r="G278" s="3"/>
    </row>
    <row r="279" spans="1:7">
      <c r="A279" s="8"/>
      <c r="B279" s="10"/>
      <c r="C279" s="10"/>
      <c r="D279" s="10"/>
      <c r="E279" s="10"/>
    </row>
    <row r="280" spans="1:7">
      <c r="A280" s="8"/>
      <c r="B280" s="10"/>
      <c r="C280" s="10"/>
      <c r="D280" s="10"/>
      <c r="E280" s="10"/>
      <c r="F280"/>
    </row>
    <row r="281" spans="1:7">
      <c r="A281" s="8"/>
      <c r="B281" s="10"/>
      <c r="C281" s="10"/>
      <c r="D281" s="10"/>
      <c r="E281" s="10"/>
      <c r="F281" s="3"/>
    </row>
    <row r="282" spans="1:7">
      <c r="A282" s="8"/>
      <c r="B282" s="10"/>
      <c r="C282" s="10"/>
      <c r="D282" s="10"/>
      <c r="E282" s="10"/>
      <c r="F282"/>
    </row>
    <row r="283" spans="1:7">
      <c r="A283" s="8"/>
      <c r="B283" s="10"/>
      <c r="C283" s="10"/>
      <c r="D283" s="10"/>
      <c r="E283" s="10"/>
      <c r="F283"/>
    </row>
    <row r="284" spans="1:7">
      <c r="A284" s="8"/>
      <c r="B284" s="10"/>
      <c r="C284" s="10"/>
      <c r="D284" s="10"/>
      <c r="E284" s="10"/>
      <c r="F284"/>
    </row>
    <row r="285" spans="1:7">
      <c r="A285" s="8"/>
      <c r="B285" s="10"/>
      <c r="C285" s="10"/>
      <c r="D285" s="10"/>
      <c r="E285" s="10"/>
      <c r="F285"/>
    </row>
    <row r="286" spans="1:7">
      <c r="A286" s="8"/>
      <c r="B286" s="10"/>
      <c r="C286" s="10"/>
      <c r="D286" s="10"/>
      <c r="E286" s="10"/>
      <c r="F286"/>
    </row>
    <row r="287" spans="1:7">
      <c r="A287" s="8"/>
      <c r="B287" s="10"/>
      <c r="C287" s="10"/>
      <c r="D287" s="10"/>
      <c r="E287" s="10"/>
      <c r="F287"/>
    </row>
    <row r="288" spans="1:7">
      <c r="A288" s="8"/>
      <c r="B288" s="10"/>
      <c r="C288" s="10"/>
      <c r="D288" s="10"/>
      <c r="E288" s="10"/>
    </row>
    <row r="289" spans="1:5">
      <c r="A289" s="8"/>
      <c r="B289" s="10"/>
      <c r="C289" s="10"/>
      <c r="D289" s="10"/>
      <c r="E289" s="10"/>
    </row>
    <row r="290" spans="1:5">
      <c r="A290" s="8"/>
      <c r="B290" s="10"/>
      <c r="C290" s="54"/>
      <c r="D290" s="9"/>
    </row>
    <row r="291" spans="1:5">
      <c r="A291" s="8"/>
      <c r="B291" s="10"/>
      <c r="C291" s="54"/>
      <c r="D291" s="9"/>
    </row>
    <row r="292" spans="1:5">
      <c r="A292" s="8"/>
      <c r="B292" s="10"/>
      <c r="C292" s="54"/>
      <c r="D292" s="9"/>
    </row>
    <row r="293" spans="1:5">
      <c r="A293" s="8"/>
      <c r="B293" s="10"/>
      <c r="C293" s="54"/>
      <c r="D293" s="9"/>
    </row>
    <row r="294" spans="1:5">
      <c r="A294" s="8"/>
      <c r="B294" s="10"/>
      <c r="C294" s="54"/>
      <c r="D294" s="9"/>
    </row>
    <row r="295" spans="1:5">
      <c r="A295" s="8"/>
      <c r="B295" s="10"/>
      <c r="C295" s="54"/>
      <c r="D295" s="9"/>
    </row>
    <row r="296" spans="1:5">
      <c r="A296" s="8"/>
      <c r="B296" s="10"/>
      <c r="C296" s="54"/>
      <c r="D296" s="9"/>
    </row>
    <row r="297" spans="1:5">
      <c r="A297" s="8"/>
      <c r="B297" s="10"/>
      <c r="C297" s="54"/>
      <c r="D297" s="9"/>
    </row>
    <row r="298" spans="1:5">
      <c r="A298" s="8"/>
      <c r="B298" s="10"/>
      <c r="C298" s="54"/>
      <c r="D298" s="9"/>
    </row>
    <row r="299" spans="1:5">
      <c r="A299" s="8"/>
      <c r="B299" s="10"/>
      <c r="C299" s="54"/>
      <c r="D299" s="9"/>
    </row>
    <row r="300" spans="1:5">
      <c r="A300" s="8"/>
      <c r="B300" s="10"/>
      <c r="C300" s="54"/>
      <c r="D300" s="9"/>
    </row>
    <row r="301" spans="1:5">
      <c r="A301" s="8"/>
      <c r="B301" s="10"/>
      <c r="C301" s="54"/>
      <c r="D301" s="9"/>
    </row>
    <row r="302" spans="1:5">
      <c r="A302" s="8"/>
      <c r="B302" s="10"/>
      <c r="C302" s="54"/>
      <c r="D302" s="9"/>
    </row>
    <row r="303" spans="1:5">
      <c r="A303" s="8"/>
      <c r="B303" s="10"/>
      <c r="C303" s="54"/>
      <c r="D303" s="9"/>
    </row>
    <row r="304" spans="1:5">
      <c r="A304" s="8"/>
      <c r="B304" s="10"/>
      <c r="C304" s="54"/>
      <c r="D304" s="9"/>
    </row>
    <row r="305" spans="1:4">
      <c r="A305" s="8"/>
      <c r="B305" s="10"/>
      <c r="C305" s="54"/>
      <c r="D305" s="9"/>
    </row>
    <row r="306" spans="1:4">
      <c r="A306" s="8"/>
      <c r="B306" s="10"/>
      <c r="C306" s="54"/>
      <c r="D306" s="9"/>
    </row>
    <row r="307" spans="1:4">
      <c r="A307" s="8"/>
      <c r="B307" s="10"/>
      <c r="C307" s="54"/>
      <c r="D307" s="9"/>
    </row>
    <row r="308" spans="1:4">
      <c r="A308" s="8"/>
      <c r="B308" s="10"/>
      <c r="C308" s="54"/>
      <c r="D308" s="9"/>
    </row>
    <row r="309" spans="1:4">
      <c r="A309" s="1"/>
      <c r="B309"/>
      <c r="C309" s="7"/>
      <c r="D309" s="3"/>
    </row>
    <row r="310" spans="1:4">
      <c r="A310" s="1"/>
      <c r="B310"/>
      <c r="C310" s="7"/>
      <c r="D310" s="3"/>
    </row>
    <row r="311" spans="1:4">
      <c r="A311" s="1"/>
      <c r="B311"/>
      <c r="C311" s="7"/>
      <c r="D311" s="3"/>
    </row>
  </sheetData>
  <printOptions gridLines="1"/>
  <pageMargins left="0.25" right="0.25" top="0.5" bottom="0.5" header="0.3" footer="0.3"/>
  <pageSetup scale="71" fitToHeight="0" orientation="landscape" horizontalDpi="4294967293" r:id="rId1"/>
  <rowBreaks count="5" manualBreakCount="5">
    <brk id="41" max="16383" man="1"/>
    <brk id="79" max="16383" man="1"/>
    <brk id="127" max="16383" man="1"/>
    <brk id="152" max="16383" man="1"/>
    <brk id="212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9CBAE-8D50-48AD-ACD2-C6ECB2727A42}">
  <sheetPr>
    <pageSetUpPr fitToPage="1"/>
  </sheetPr>
  <dimension ref="A1:O254"/>
  <sheetViews>
    <sheetView tabSelected="1" topLeftCell="A49" workbookViewId="0">
      <selection activeCell="A52" sqref="A52:C56"/>
    </sheetView>
  </sheetViews>
  <sheetFormatPr defaultRowHeight="15"/>
  <cols>
    <col min="1" max="1" width="31.85546875" style="20" customWidth="1"/>
    <col min="2" max="2" width="26.85546875" style="8" customWidth="1"/>
    <col min="3" max="3" width="34" style="1" customWidth="1"/>
    <col min="4" max="4" width="20" customWidth="1"/>
    <col min="5" max="5" width="13.85546875" customWidth="1"/>
    <col min="6" max="6" width="12" customWidth="1"/>
    <col min="7" max="7" width="13" customWidth="1"/>
    <col min="8" max="8" width="12.85546875" customWidth="1"/>
    <col min="9" max="9" width="12.7109375" customWidth="1"/>
    <col min="10" max="10" width="11.85546875" customWidth="1"/>
    <col min="11" max="11" width="11.5703125" bestFit="1" customWidth="1"/>
    <col min="12" max="12" width="11.85546875" customWidth="1"/>
    <col min="13" max="13" width="11.5703125" bestFit="1" customWidth="1"/>
    <col min="248" max="248" width="37.140625" customWidth="1"/>
    <col min="249" max="249" width="20.85546875" customWidth="1"/>
    <col min="250" max="250" width="23.85546875" customWidth="1"/>
    <col min="251" max="251" width="18.85546875" customWidth="1"/>
    <col min="252" max="252" width="16.5703125" customWidth="1"/>
    <col min="253" max="253" width="12.28515625" bestFit="1" customWidth="1"/>
    <col min="254" max="254" width="11.28515625" customWidth="1"/>
    <col min="255" max="255" width="11.7109375" customWidth="1"/>
    <col min="256" max="256" width="11" customWidth="1"/>
    <col min="257" max="257" width="17" customWidth="1"/>
    <col min="258" max="258" width="11.28515625" bestFit="1" customWidth="1"/>
    <col min="260" max="260" width="14.5703125" customWidth="1"/>
    <col min="504" max="504" width="37.140625" customWidth="1"/>
    <col min="505" max="505" width="20.85546875" customWidth="1"/>
    <col min="506" max="506" width="23.85546875" customWidth="1"/>
    <col min="507" max="507" width="18.85546875" customWidth="1"/>
    <col min="508" max="508" width="16.5703125" customWidth="1"/>
    <col min="509" max="509" width="12.28515625" bestFit="1" customWidth="1"/>
    <col min="510" max="510" width="11.28515625" customWidth="1"/>
    <col min="511" max="511" width="11.7109375" customWidth="1"/>
    <col min="512" max="512" width="11" customWidth="1"/>
    <col min="513" max="513" width="17" customWidth="1"/>
    <col min="514" max="514" width="11.28515625" bestFit="1" customWidth="1"/>
    <col min="516" max="516" width="14.5703125" customWidth="1"/>
    <col min="760" max="760" width="37.140625" customWidth="1"/>
    <col min="761" max="761" width="20.85546875" customWidth="1"/>
    <col min="762" max="762" width="23.85546875" customWidth="1"/>
    <col min="763" max="763" width="18.85546875" customWidth="1"/>
    <col min="764" max="764" width="16.5703125" customWidth="1"/>
    <col min="765" max="765" width="12.28515625" bestFit="1" customWidth="1"/>
    <col min="766" max="766" width="11.28515625" customWidth="1"/>
    <col min="767" max="767" width="11.7109375" customWidth="1"/>
    <col min="768" max="768" width="11" customWidth="1"/>
    <col min="769" max="769" width="17" customWidth="1"/>
    <col min="770" max="770" width="11.28515625" bestFit="1" customWidth="1"/>
    <col min="772" max="772" width="14.5703125" customWidth="1"/>
    <col min="1016" max="1016" width="37.140625" customWidth="1"/>
    <col min="1017" max="1017" width="20.85546875" customWidth="1"/>
    <col min="1018" max="1018" width="23.85546875" customWidth="1"/>
    <col min="1019" max="1019" width="18.85546875" customWidth="1"/>
    <col min="1020" max="1020" width="16.5703125" customWidth="1"/>
    <col min="1021" max="1021" width="12.28515625" bestFit="1" customWidth="1"/>
    <col min="1022" max="1022" width="11.28515625" customWidth="1"/>
    <col min="1023" max="1023" width="11.7109375" customWidth="1"/>
    <col min="1024" max="1024" width="11" customWidth="1"/>
    <col min="1025" max="1025" width="17" customWidth="1"/>
    <col min="1026" max="1026" width="11.28515625" bestFit="1" customWidth="1"/>
    <col min="1028" max="1028" width="14.5703125" customWidth="1"/>
    <col min="1272" max="1272" width="37.140625" customWidth="1"/>
    <col min="1273" max="1273" width="20.85546875" customWidth="1"/>
    <col min="1274" max="1274" width="23.85546875" customWidth="1"/>
    <col min="1275" max="1275" width="18.85546875" customWidth="1"/>
    <col min="1276" max="1276" width="16.5703125" customWidth="1"/>
    <col min="1277" max="1277" width="12.28515625" bestFit="1" customWidth="1"/>
    <col min="1278" max="1278" width="11.28515625" customWidth="1"/>
    <col min="1279" max="1279" width="11.7109375" customWidth="1"/>
    <col min="1280" max="1280" width="11" customWidth="1"/>
    <col min="1281" max="1281" width="17" customWidth="1"/>
    <col min="1282" max="1282" width="11.28515625" bestFit="1" customWidth="1"/>
    <col min="1284" max="1284" width="14.5703125" customWidth="1"/>
    <col min="1528" max="1528" width="37.140625" customWidth="1"/>
    <col min="1529" max="1529" width="20.85546875" customWidth="1"/>
    <col min="1530" max="1530" width="23.85546875" customWidth="1"/>
    <col min="1531" max="1531" width="18.85546875" customWidth="1"/>
    <col min="1532" max="1532" width="16.5703125" customWidth="1"/>
    <col min="1533" max="1533" width="12.28515625" bestFit="1" customWidth="1"/>
    <col min="1534" max="1534" width="11.28515625" customWidth="1"/>
    <col min="1535" max="1535" width="11.7109375" customWidth="1"/>
    <col min="1536" max="1536" width="11" customWidth="1"/>
    <col min="1537" max="1537" width="17" customWidth="1"/>
    <col min="1538" max="1538" width="11.28515625" bestFit="1" customWidth="1"/>
    <col min="1540" max="1540" width="14.5703125" customWidth="1"/>
    <col min="1784" max="1784" width="37.140625" customWidth="1"/>
    <col min="1785" max="1785" width="20.85546875" customWidth="1"/>
    <col min="1786" max="1786" width="23.85546875" customWidth="1"/>
    <col min="1787" max="1787" width="18.85546875" customWidth="1"/>
    <col min="1788" max="1788" width="16.5703125" customWidth="1"/>
    <col min="1789" max="1789" width="12.28515625" bestFit="1" customWidth="1"/>
    <col min="1790" max="1790" width="11.28515625" customWidth="1"/>
    <col min="1791" max="1791" width="11.7109375" customWidth="1"/>
    <col min="1792" max="1792" width="11" customWidth="1"/>
    <col min="1793" max="1793" width="17" customWidth="1"/>
    <col min="1794" max="1794" width="11.28515625" bestFit="1" customWidth="1"/>
    <col min="1796" max="1796" width="14.5703125" customWidth="1"/>
    <col min="2040" max="2040" width="37.140625" customWidth="1"/>
    <col min="2041" max="2041" width="20.85546875" customWidth="1"/>
    <col min="2042" max="2042" width="23.85546875" customWidth="1"/>
    <col min="2043" max="2043" width="18.85546875" customWidth="1"/>
    <col min="2044" max="2044" width="16.5703125" customWidth="1"/>
    <col min="2045" max="2045" width="12.28515625" bestFit="1" customWidth="1"/>
    <col min="2046" max="2046" width="11.28515625" customWidth="1"/>
    <col min="2047" max="2047" width="11.7109375" customWidth="1"/>
    <col min="2048" max="2048" width="11" customWidth="1"/>
    <col min="2049" max="2049" width="17" customWidth="1"/>
    <col min="2050" max="2050" width="11.28515625" bestFit="1" customWidth="1"/>
    <col min="2052" max="2052" width="14.5703125" customWidth="1"/>
    <col min="2296" max="2296" width="37.140625" customWidth="1"/>
    <col min="2297" max="2297" width="20.85546875" customWidth="1"/>
    <col min="2298" max="2298" width="23.85546875" customWidth="1"/>
    <col min="2299" max="2299" width="18.85546875" customWidth="1"/>
    <col min="2300" max="2300" width="16.5703125" customWidth="1"/>
    <col min="2301" max="2301" width="12.28515625" bestFit="1" customWidth="1"/>
    <col min="2302" max="2302" width="11.28515625" customWidth="1"/>
    <col min="2303" max="2303" width="11.7109375" customWidth="1"/>
    <col min="2304" max="2304" width="11" customWidth="1"/>
    <col min="2305" max="2305" width="17" customWidth="1"/>
    <col min="2306" max="2306" width="11.28515625" bestFit="1" customWidth="1"/>
    <col min="2308" max="2308" width="14.5703125" customWidth="1"/>
    <col min="2552" max="2552" width="37.140625" customWidth="1"/>
    <col min="2553" max="2553" width="20.85546875" customWidth="1"/>
    <col min="2554" max="2554" width="23.85546875" customWidth="1"/>
    <col min="2555" max="2555" width="18.85546875" customWidth="1"/>
    <col min="2556" max="2556" width="16.5703125" customWidth="1"/>
    <col min="2557" max="2557" width="12.28515625" bestFit="1" customWidth="1"/>
    <col min="2558" max="2558" width="11.28515625" customWidth="1"/>
    <col min="2559" max="2559" width="11.7109375" customWidth="1"/>
    <col min="2560" max="2560" width="11" customWidth="1"/>
    <col min="2561" max="2561" width="17" customWidth="1"/>
    <col min="2562" max="2562" width="11.28515625" bestFit="1" customWidth="1"/>
    <col min="2564" max="2564" width="14.5703125" customWidth="1"/>
    <col min="2808" max="2808" width="37.140625" customWidth="1"/>
    <col min="2809" max="2809" width="20.85546875" customWidth="1"/>
    <col min="2810" max="2810" width="23.85546875" customWidth="1"/>
    <col min="2811" max="2811" width="18.85546875" customWidth="1"/>
    <col min="2812" max="2812" width="16.5703125" customWidth="1"/>
    <col min="2813" max="2813" width="12.28515625" bestFit="1" customWidth="1"/>
    <col min="2814" max="2814" width="11.28515625" customWidth="1"/>
    <col min="2815" max="2815" width="11.7109375" customWidth="1"/>
    <col min="2816" max="2816" width="11" customWidth="1"/>
    <col min="2817" max="2817" width="17" customWidth="1"/>
    <col min="2818" max="2818" width="11.28515625" bestFit="1" customWidth="1"/>
    <col min="2820" max="2820" width="14.5703125" customWidth="1"/>
    <col min="3064" max="3064" width="37.140625" customWidth="1"/>
    <col min="3065" max="3065" width="20.85546875" customWidth="1"/>
    <col min="3066" max="3066" width="23.85546875" customWidth="1"/>
    <col min="3067" max="3067" width="18.85546875" customWidth="1"/>
    <col min="3068" max="3068" width="16.5703125" customWidth="1"/>
    <col min="3069" max="3069" width="12.28515625" bestFit="1" customWidth="1"/>
    <col min="3070" max="3070" width="11.28515625" customWidth="1"/>
    <col min="3071" max="3071" width="11.7109375" customWidth="1"/>
    <col min="3072" max="3072" width="11" customWidth="1"/>
    <col min="3073" max="3073" width="17" customWidth="1"/>
    <col min="3074" max="3074" width="11.28515625" bestFit="1" customWidth="1"/>
    <col min="3076" max="3076" width="14.5703125" customWidth="1"/>
    <col min="3320" max="3320" width="37.140625" customWidth="1"/>
    <col min="3321" max="3321" width="20.85546875" customWidth="1"/>
    <col min="3322" max="3322" width="23.85546875" customWidth="1"/>
    <col min="3323" max="3323" width="18.85546875" customWidth="1"/>
    <col min="3324" max="3324" width="16.5703125" customWidth="1"/>
    <col min="3325" max="3325" width="12.28515625" bestFit="1" customWidth="1"/>
    <col min="3326" max="3326" width="11.28515625" customWidth="1"/>
    <col min="3327" max="3327" width="11.7109375" customWidth="1"/>
    <col min="3328" max="3328" width="11" customWidth="1"/>
    <col min="3329" max="3329" width="17" customWidth="1"/>
    <col min="3330" max="3330" width="11.28515625" bestFit="1" customWidth="1"/>
    <col min="3332" max="3332" width="14.5703125" customWidth="1"/>
    <col min="3576" max="3576" width="37.140625" customWidth="1"/>
    <col min="3577" max="3577" width="20.85546875" customWidth="1"/>
    <col min="3578" max="3578" width="23.85546875" customWidth="1"/>
    <col min="3579" max="3579" width="18.85546875" customWidth="1"/>
    <col min="3580" max="3580" width="16.5703125" customWidth="1"/>
    <col min="3581" max="3581" width="12.28515625" bestFit="1" customWidth="1"/>
    <col min="3582" max="3582" width="11.28515625" customWidth="1"/>
    <col min="3583" max="3583" width="11.7109375" customWidth="1"/>
    <col min="3584" max="3584" width="11" customWidth="1"/>
    <col min="3585" max="3585" width="17" customWidth="1"/>
    <col min="3586" max="3586" width="11.28515625" bestFit="1" customWidth="1"/>
    <col min="3588" max="3588" width="14.5703125" customWidth="1"/>
    <col min="3832" max="3832" width="37.140625" customWidth="1"/>
    <col min="3833" max="3833" width="20.85546875" customWidth="1"/>
    <col min="3834" max="3834" width="23.85546875" customWidth="1"/>
    <col min="3835" max="3835" width="18.85546875" customWidth="1"/>
    <col min="3836" max="3836" width="16.5703125" customWidth="1"/>
    <col min="3837" max="3837" width="12.28515625" bestFit="1" customWidth="1"/>
    <col min="3838" max="3838" width="11.28515625" customWidth="1"/>
    <col min="3839" max="3839" width="11.7109375" customWidth="1"/>
    <col min="3840" max="3840" width="11" customWidth="1"/>
    <col min="3841" max="3841" width="17" customWidth="1"/>
    <col min="3842" max="3842" width="11.28515625" bestFit="1" customWidth="1"/>
    <col min="3844" max="3844" width="14.5703125" customWidth="1"/>
    <col min="4088" max="4088" width="37.140625" customWidth="1"/>
    <col min="4089" max="4089" width="20.85546875" customWidth="1"/>
    <col min="4090" max="4090" width="23.85546875" customWidth="1"/>
    <col min="4091" max="4091" width="18.85546875" customWidth="1"/>
    <col min="4092" max="4092" width="16.5703125" customWidth="1"/>
    <col min="4093" max="4093" width="12.28515625" bestFit="1" customWidth="1"/>
    <col min="4094" max="4094" width="11.28515625" customWidth="1"/>
    <col min="4095" max="4095" width="11.7109375" customWidth="1"/>
    <col min="4096" max="4096" width="11" customWidth="1"/>
    <col min="4097" max="4097" width="17" customWidth="1"/>
    <col min="4098" max="4098" width="11.28515625" bestFit="1" customWidth="1"/>
    <col min="4100" max="4100" width="14.5703125" customWidth="1"/>
    <col min="4344" max="4344" width="37.140625" customWidth="1"/>
    <col min="4345" max="4345" width="20.85546875" customWidth="1"/>
    <col min="4346" max="4346" width="23.85546875" customWidth="1"/>
    <col min="4347" max="4347" width="18.85546875" customWidth="1"/>
    <col min="4348" max="4348" width="16.5703125" customWidth="1"/>
    <col min="4349" max="4349" width="12.28515625" bestFit="1" customWidth="1"/>
    <col min="4350" max="4350" width="11.28515625" customWidth="1"/>
    <col min="4351" max="4351" width="11.7109375" customWidth="1"/>
    <col min="4352" max="4352" width="11" customWidth="1"/>
    <col min="4353" max="4353" width="17" customWidth="1"/>
    <col min="4354" max="4354" width="11.28515625" bestFit="1" customWidth="1"/>
    <col min="4356" max="4356" width="14.5703125" customWidth="1"/>
    <col min="4600" max="4600" width="37.140625" customWidth="1"/>
    <col min="4601" max="4601" width="20.85546875" customWidth="1"/>
    <col min="4602" max="4602" width="23.85546875" customWidth="1"/>
    <col min="4603" max="4603" width="18.85546875" customWidth="1"/>
    <col min="4604" max="4604" width="16.5703125" customWidth="1"/>
    <col min="4605" max="4605" width="12.28515625" bestFit="1" customWidth="1"/>
    <col min="4606" max="4606" width="11.28515625" customWidth="1"/>
    <col min="4607" max="4607" width="11.7109375" customWidth="1"/>
    <col min="4608" max="4608" width="11" customWidth="1"/>
    <col min="4609" max="4609" width="17" customWidth="1"/>
    <col min="4610" max="4610" width="11.28515625" bestFit="1" customWidth="1"/>
    <col min="4612" max="4612" width="14.5703125" customWidth="1"/>
    <col min="4856" max="4856" width="37.140625" customWidth="1"/>
    <col min="4857" max="4857" width="20.85546875" customWidth="1"/>
    <col min="4858" max="4858" width="23.85546875" customWidth="1"/>
    <col min="4859" max="4859" width="18.85546875" customWidth="1"/>
    <col min="4860" max="4860" width="16.5703125" customWidth="1"/>
    <col min="4861" max="4861" width="12.28515625" bestFit="1" customWidth="1"/>
    <col min="4862" max="4862" width="11.28515625" customWidth="1"/>
    <col min="4863" max="4863" width="11.7109375" customWidth="1"/>
    <col min="4864" max="4864" width="11" customWidth="1"/>
    <col min="4865" max="4865" width="17" customWidth="1"/>
    <col min="4866" max="4866" width="11.28515625" bestFit="1" customWidth="1"/>
    <col min="4868" max="4868" width="14.5703125" customWidth="1"/>
    <col min="5112" max="5112" width="37.140625" customWidth="1"/>
    <col min="5113" max="5113" width="20.85546875" customWidth="1"/>
    <col min="5114" max="5114" width="23.85546875" customWidth="1"/>
    <col min="5115" max="5115" width="18.85546875" customWidth="1"/>
    <col min="5116" max="5116" width="16.5703125" customWidth="1"/>
    <col min="5117" max="5117" width="12.28515625" bestFit="1" customWidth="1"/>
    <col min="5118" max="5118" width="11.28515625" customWidth="1"/>
    <col min="5119" max="5119" width="11.7109375" customWidth="1"/>
    <col min="5120" max="5120" width="11" customWidth="1"/>
    <col min="5121" max="5121" width="17" customWidth="1"/>
    <col min="5122" max="5122" width="11.28515625" bestFit="1" customWidth="1"/>
    <col min="5124" max="5124" width="14.5703125" customWidth="1"/>
    <col min="5368" max="5368" width="37.140625" customWidth="1"/>
    <col min="5369" max="5369" width="20.85546875" customWidth="1"/>
    <col min="5370" max="5370" width="23.85546875" customWidth="1"/>
    <col min="5371" max="5371" width="18.85546875" customWidth="1"/>
    <col min="5372" max="5372" width="16.5703125" customWidth="1"/>
    <col min="5373" max="5373" width="12.28515625" bestFit="1" customWidth="1"/>
    <col min="5374" max="5374" width="11.28515625" customWidth="1"/>
    <col min="5375" max="5375" width="11.7109375" customWidth="1"/>
    <col min="5376" max="5376" width="11" customWidth="1"/>
    <col min="5377" max="5377" width="17" customWidth="1"/>
    <col min="5378" max="5378" width="11.28515625" bestFit="1" customWidth="1"/>
    <col min="5380" max="5380" width="14.5703125" customWidth="1"/>
    <col min="5624" max="5624" width="37.140625" customWidth="1"/>
    <col min="5625" max="5625" width="20.85546875" customWidth="1"/>
    <col min="5626" max="5626" width="23.85546875" customWidth="1"/>
    <col min="5627" max="5627" width="18.85546875" customWidth="1"/>
    <col min="5628" max="5628" width="16.5703125" customWidth="1"/>
    <col min="5629" max="5629" width="12.28515625" bestFit="1" customWidth="1"/>
    <col min="5630" max="5630" width="11.28515625" customWidth="1"/>
    <col min="5631" max="5631" width="11.7109375" customWidth="1"/>
    <col min="5632" max="5632" width="11" customWidth="1"/>
    <col min="5633" max="5633" width="17" customWidth="1"/>
    <col min="5634" max="5634" width="11.28515625" bestFit="1" customWidth="1"/>
    <col min="5636" max="5636" width="14.5703125" customWidth="1"/>
    <col min="5880" max="5880" width="37.140625" customWidth="1"/>
    <col min="5881" max="5881" width="20.85546875" customWidth="1"/>
    <col min="5882" max="5882" width="23.85546875" customWidth="1"/>
    <col min="5883" max="5883" width="18.85546875" customWidth="1"/>
    <col min="5884" max="5884" width="16.5703125" customWidth="1"/>
    <col min="5885" max="5885" width="12.28515625" bestFit="1" customWidth="1"/>
    <col min="5886" max="5886" width="11.28515625" customWidth="1"/>
    <col min="5887" max="5887" width="11.7109375" customWidth="1"/>
    <col min="5888" max="5888" width="11" customWidth="1"/>
    <col min="5889" max="5889" width="17" customWidth="1"/>
    <col min="5890" max="5890" width="11.28515625" bestFit="1" customWidth="1"/>
    <col min="5892" max="5892" width="14.5703125" customWidth="1"/>
    <col min="6136" max="6136" width="37.140625" customWidth="1"/>
    <col min="6137" max="6137" width="20.85546875" customWidth="1"/>
    <col min="6138" max="6138" width="23.85546875" customWidth="1"/>
    <col min="6139" max="6139" width="18.85546875" customWidth="1"/>
    <col min="6140" max="6140" width="16.5703125" customWidth="1"/>
    <col min="6141" max="6141" width="12.28515625" bestFit="1" customWidth="1"/>
    <col min="6142" max="6142" width="11.28515625" customWidth="1"/>
    <col min="6143" max="6143" width="11.7109375" customWidth="1"/>
    <col min="6144" max="6144" width="11" customWidth="1"/>
    <col min="6145" max="6145" width="17" customWidth="1"/>
    <col min="6146" max="6146" width="11.28515625" bestFit="1" customWidth="1"/>
    <col min="6148" max="6148" width="14.5703125" customWidth="1"/>
    <col min="6392" max="6392" width="37.140625" customWidth="1"/>
    <col min="6393" max="6393" width="20.85546875" customWidth="1"/>
    <col min="6394" max="6394" width="23.85546875" customWidth="1"/>
    <col min="6395" max="6395" width="18.85546875" customWidth="1"/>
    <col min="6396" max="6396" width="16.5703125" customWidth="1"/>
    <col min="6397" max="6397" width="12.28515625" bestFit="1" customWidth="1"/>
    <col min="6398" max="6398" width="11.28515625" customWidth="1"/>
    <col min="6399" max="6399" width="11.7109375" customWidth="1"/>
    <col min="6400" max="6400" width="11" customWidth="1"/>
    <col min="6401" max="6401" width="17" customWidth="1"/>
    <col min="6402" max="6402" width="11.28515625" bestFit="1" customWidth="1"/>
    <col min="6404" max="6404" width="14.5703125" customWidth="1"/>
    <col min="6648" max="6648" width="37.140625" customWidth="1"/>
    <col min="6649" max="6649" width="20.85546875" customWidth="1"/>
    <col min="6650" max="6650" width="23.85546875" customWidth="1"/>
    <col min="6651" max="6651" width="18.85546875" customWidth="1"/>
    <col min="6652" max="6652" width="16.5703125" customWidth="1"/>
    <col min="6653" max="6653" width="12.28515625" bestFit="1" customWidth="1"/>
    <col min="6654" max="6654" width="11.28515625" customWidth="1"/>
    <col min="6655" max="6655" width="11.7109375" customWidth="1"/>
    <col min="6656" max="6656" width="11" customWidth="1"/>
    <col min="6657" max="6657" width="17" customWidth="1"/>
    <col min="6658" max="6658" width="11.28515625" bestFit="1" customWidth="1"/>
    <col min="6660" max="6660" width="14.5703125" customWidth="1"/>
    <col min="6904" max="6904" width="37.140625" customWidth="1"/>
    <col min="6905" max="6905" width="20.85546875" customWidth="1"/>
    <col min="6906" max="6906" width="23.85546875" customWidth="1"/>
    <col min="6907" max="6907" width="18.85546875" customWidth="1"/>
    <col min="6908" max="6908" width="16.5703125" customWidth="1"/>
    <col min="6909" max="6909" width="12.28515625" bestFit="1" customWidth="1"/>
    <col min="6910" max="6910" width="11.28515625" customWidth="1"/>
    <col min="6911" max="6911" width="11.7109375" customWidth="1"/>
    <col min="6912" max="6912" width="11" customWidth="1"/>
    <col min="6913" max="6913" width="17" customWidth="1"/>
    <col min="6914" max="6914" width="11.28515625" bestFit="1" customWidth="1"/>
    <col min="6916" max="6916" width="14.5703125" customWidth="1"/>
    <col min="7160" max="7160" width="37.140625" customWidth="1"/>
    <col min="7161" max="7161" width="20.85546875" customWidth="1"/>
    <col min="7162" max="7162" width="23.85546875" customWidth="1"/>
    <col min="7163" max="7163" width="18.85546875" customWidth="1"/>
    <col min="7164" max="7164" width="16.5703125" customWidth="1"/>
    <col min="7165" max="7165" width="12.28515625" bestFit="1" customWidth="1"/>
    <col min="7166" max="7166" width="11.28515625" customWidth="1"/>
    <col min="7167" max="7167" width="11.7109375" customWidth="1"/>
    <col min="7168" max="7168" width="11" customWidth="1"/>
    <col min="7169" max="7169" width="17" customWidth="1"/>
    <col min="7170" max="7170" width="11.28515625" bestFit="1" customWidth="1"/>
    <col min="7172" max="7172" width="14.5703125" customWidth="1"/>
    <col min="7416" max="7416" width="37.140625" customWidth="1"/>
    <col min="7417" max="7417" width="20.85546875" customWidth="1"/>
    <col min="7418" max="7418" width="23.85546875" customWidth="1"/>
    <col min="7419" max="7419" width="18.85546875" customWidth="1"/>
    <col min="7420" max="7420" width="16.5703125" customWidth="1"/>
    <col min="7421" max="7421" width="12.28515625" bestFit="1" customWidth="1"/>
    <col min="7422" max="7422" width="11.28515625" customWidth="1"/>
    <col min="7423" max="7423" width="11.7109375" customWidth="1"/>
    <col min="7424" max="7424" width="11" customWidth="1"/>
    <col min="7425" max="7425" width="17" customWidth="1"/>
    <col min="7426" max="7426" width="11.28515625" bestFit="1" customWidth="1"/>
    <col min="7428" max="7428" width="14.5703125" customWidth="1"/>
    <col min="7672" max="7672" width="37.140625" customWidth="1"/>
    <col min="7673" max="7673" width="20.85546875" customWidth="1"/>
    <col min="7674" max="7674" width="23.85546875" customWidth="1"/>
    <col min="7675" max="7675" width="18.85546875" customWidth="1"/>
    <col min="7676" max="7676" width="16.5703125" customWidth="1"/>
    <col min="7677" max="7677" width="12.28515625" bestFit="1" customWidth="1"/>
    <col min="7678" max="7678" width="11.28515625" customWidth="1"/>
    <col min="7679" max="7679" width="11.7109375" customWidth="1"/>
    <col min="7680" max="7680" width="11" customWidth="1"/>
    <col min="7681" max="7681" width="17" customWidth="1"/>
    <col min="7682" max="7682" width="11.28515625" bestFit="1" customWidth="1"/>
    <col min="7684" max="7684" width="14.5703125" customWidth="1"/>
    <col min="7928" max="7928" width="37.140625" customWidth="1"/>
    <col min="7929" max="7929" width="20.85546875" customWidth="1"/>
    <col min="7930" max="7930" width="23.85546875" customWidth="1"/>
    <col min="7931" max="7931" width="18.85546875" customWidth="1"/>
    <col min="7932" max="7932" width="16.5703125" customWidth="1"/>
    <col min="7933" max="7933" width="12.28515625" bestFit="1" customWidth="1"/>
    <col min="7934" max="7934" width="11.28515625" customWidth="1"/>
    <col min="7935" max="7935" width="11.7109375" customWidth="1"/>
    <col min="7936" max="7936" width="11" customWidth="1"/>
    <col min="7937" max="7937" width="17" customWidth="1"/>
    <col min="7938" max="7938" width="11.28515625" bestFit="1" customWidth="1"/>
    <col min="7940" max="7940" width="14.5703125" customWidth="1"/>
    <col min="8184" max="8184" width="37.140625" customWidth="1"/>
    <col min="8185" max="8185" width="20.85546875" customWidth="1"/>
    <col min="8186" max="8186" width="23.85546875" customWidth="1"/>
    <col min="8187" max="8187" width="18.85546875" customWidth="1"/>
    <col min="8188" max="8188" width="16.5703125" customWidth="1"/>
    <col min="8189" max="8189" width="12.28515625" bestFit="1" customWidth="1"/>
    <col min="8190" max="8190" width="11.28515625" customWidth="1"/>
    <col min="8191" max="8191" width="11.7109375" customWidth="1"/>
    <col min="8192" max="8192" width="11" customWidth="1"/>
    <col min="8193" max="8193" width="17" customWidth="1"/>
    <col min="8194" max="8194" width="11.28515625" bestFit="1" customWidth="1"/>
    <col min="8196" max="8196" width="14.5703125" customWidth="1"/>
    <col min="8440" max="8440" width="37.140625" customWidth="1"/>
    <col min="8441" max="8441" width="20.85546875" customWidth="1"/>
    <col min="8442" max="8442" width="23.85546875" customWidth="1"/>
    <col min="8443" max="8443" width="18.85546875" customWidth="1"/>
    <col min="8444" max="8444" width="16.5703125" customWidth="1"/>
    <col min="8445" max="8445" width="12.28515625" bestFit="1" customWidth="1"/>
    <col min="8446" max="8446" width="11.28515625" customWidth="1"/>
    <col min="8447" max="8447" width="11.7109375" customWidth="1"/>
    <col min="8448" max="8448" width="11" customWidth="1"/>
    <col min="8449" max="8449" width="17" customWidth="1"/>
    <col min="8450" max="8450" width="11.28515625" bestFit="1" customWidth="1"/>
    <col min="8452" max="8452" width="14.5703125" customWidth="1"/>
    <col min="8696" max="8696" width="37.140625" customWidth="1"/>
    <col min="8697" max="8697" width="20.85546875" customWidth="1"/>
    <col min="8698" max="8698" width="23.85546875" customWidth="1"/>
    <col min="8699" max="8699" width="18.85546875" customWidth="1"/>
    <col min="8700" max="8700" width="16.5703125" customWidth="1"/>
    <col min="8701" max="8701" width="12.28515625" bestFit="1" customWidth="1"/>
    <col min="8702" max="8702" width="11.28515625" customWidth="1"/>
    <col min="8703" max="8703" width="11.7109375" customWidth="1"/>
    <col min="8704" max="8704" width="11" customWidth="1"/>
    <col min="8705" max="8705" width="17" customWidth="1"/>
    <col min="8706" max="8706" width="11.28515625" bestFit="1" customWidth="1"/>
    <col min="8708" max="8708" width="14.5703125" customWidth="1"/>
    <col min="8952" max="8952" width="37.140625" customWidth="1"/>
    <col min="8953" max="8953" width="20.85546875" customWidth="1"/>
    <col min="8954" max="8954" width="23.85546875" customWidth="1"/>
    <col min="8955" max="8955" width="18.85546875" customWidth="1"/>
    <col min="8956" max="8956" width="16.5703125" customWidth="1"/>
    <col min="8957" max="8957" width="12.28515625" bestFit="1" customWidth="1"/>
    <col min="8958" max="8958" width="11.28515625" customWidth="1"/>
    <col min="8959" max="8959" width="11.7109375" customWidth="1"/>
    <col min="8960" max="8960" width="11" customWidth="1"/>
    <col min="8961" max="8961" width="17" customWidth="1"/>
    <col min="8962" max="8962" width="11.28515625" bestFit="1" customWidth="1"/>
    <col min="8964" max="8964" width="14.5703125" customWidth="1"/>
    <col min="9208" max="9208" width="37.140625" customWidth="1"/>
    <col min="9209" max="9209" width="20.85546875" customWidth="1"/>
    <col min="9210" max="9210" width="23.85546875" customWidth="1"/>
    <col min="9211" max="9211" width="18.85546875" customWidth="1"/>
    <col min="9212" max="9212" width="16.5703125" customWidth="1"/>
    <col min="9213" max="9213" width="12.28515625" bestFit="1" customWidth="1"/>
    <col min="9214" max="9214" width="11.28515625" customWidth="1"/>
    <col min="9215" max="9215" width="11.7109375" customWidth="1"/>
    <col min="9216" max="9216" width="11" customWidth="1"/>
    <col min="9217" max="9217" width="17" customWidth="1"/>
    <col min="9218" max="9218" width="11.28515625" bestFit="1" customWidth="1"/>
    <col min="9220" max="9220" width="14.5703125" customWidth="1"/>
    <col min="9464" max="9464" width="37.140625" customWidth="1"/>
    <col min="9465" max="9465" width="20.85546875" customWidth="1"/>
    <col min="9466" max="9466" width="23.85546875" customWidth="1"/>
    <col min="9467" max="9467" width="18.85546875" customWidth="1"/>
    <col min="9468" max="9468" width="16.5703125" customWidth="1"/>
    <col min="9469" max="9469" width="12.28515625" bestFit="1" customWidth="1"/>
    <col min="9470" max="9470" width="11.28515625" customWidth="1"/>
    <col min="9471" max="9471" width="11.7109375" customWidth="1"/>
    <col min="9472" max="9472" width="11" customWidth="1"/>
    <col min="9473" max="9473" width="17" customWidth="1"/>
    <col min="9474" max="9474" width="11.28515625" bestFit="1" customWidth="1"/>
    <col min="9476" max="9476" width="14.5703125" customWidth="1"/>
    <col min="9720" max="9720" width="37.140625" customWidth="1"/>
    <col min="9721" max="9721" width="20.85546875" customWidth="1"/>
    <col min="9722" max="9722" width="23.85546875" customWidth="1"/>
    <col min="9723" max="9723" width="18.85546875" customWidth="1"/>
    <col min="9724" max="9724" width="16.5703125" customWidth="1"/>
    <col min="9725" max="9725" width="12.28515625" bestFit="1" customWidth="1"/>
    <col min="9726" max="9726" width="11.28515625" customWidth="1"/>
    <col min="9727" max="9727" width="11.7109375" customWidth="1"/>
    <col min="9728" max="9728" width="11" customWidth="1"/>
    <col min="9729" max="9729" width="17" customWidth="1"/>
    <col min="9730" max="9730" width="11.28515625" bestFit="1" customWidth="1"/>
    <col min="9732" max="9732" width="14.5703125" customWidth="1"/>
    <col min="9976" max="9976" width="37.140625" customWidth="1"/>
    <col min="9977" max="9977" width="20.85546875" customWidth="1"/>
    <col min="9978" max="9978" width="23.85546875" customWidth="1"/>
    <col min="9979" max="9979" width="18.85546875" customWidth="1"/>
    <col min="9980" max="9980" width="16.5703125" customWidth="1"/>
    <col min="9981" max="9981" width="12.28515625" bestFit="1" customWidth="1"/>
    <col min="9982" max="9982" width="11.28515625" customWidth="1"/>
    <col min="9983" max="9983" width="11.7109375" customWidth="1"/>
    <col min="9984" max="9984" width="11" customWidth="1"/>
    <col min="9985" max="9985" width="17" customWidth="1"/>
    <col min="9986" max="9986" width="11.28515625" bestFit="1" customWidth="1"/>
    <col min="9988" max="9988" width="14.5703125" customWidth="1"/>
    <col min="10232" max="10232" width="37.140625" customWidth="1"/>
    <col min="10233" max="10233" width="20.85546875" customWidth="1"/>
    <col min="10234" max="10234" width="23.85546875" customWidth="1"/>
    <col min="10235" max="10235" width="18.85546875" customWidth="1"/>
    <col min="10236" max="10236" width="16.5703125" customWidth="1"/>
    <col min="10237" max="10237" width="12.28515625" bestFit="1" customWidth="1"/>
    <col min="10238" max="10238" width="11.28515625" customWidth="1"/>
    <col min="10239" max="10239" width="11.7109375" customWidth="1"/>
    <col min="10240" max="10240" width="11" customWidth="1"/>
    <col min="10241" max="10241" width="17" customWidth="1"/>
    <col min="10242" max="10242" width="11.28515625" bestFit="1" customWidth="1"/>
    <col min="10244" max="10244" width="14.5703125" customWidth="1"/>
    <col min="10488" max="10488" width="37.140625" customWidth="1"/>
    <col min="10489" max="10489" width="20.85546875" customWidth="1"/>
    <col min="10490" max="10490" width="23.85546875" customWidth="1"/>
    <col min="10491" max="10491" width="18.85546875" customWidth="1"/>
    <col min="10492" max="10492" width="16.5703125" customWidth="1"/>
    <col min="10493" max="10493" width="12.28515625" bestFit="1" customWidth="1"/>
    <col min="10494" max="10494" width="11.28515625" customWidth="1"/>
    <col min="10495" max="10495" width="11.7109375" customWidth="1"/>
    <col min="10496" max="10496" width="11" customWidth="1"/>
    <col min="10497" max="10497" width="17" customWidth="1"/>
    <col min="10498" max="10498" width="11.28515625" bestFit="1" customWidth="1"/>
    <col min="10500" max="10500" width="14.5703125" customWidth="1"/>
    <col min="10744" max="10744" width="37.140625" customWidth="1"/>
    <col min="10745" max="10745" width="20.85546875" customWidth="1"/>
    <col min="10746" max="10746" width="23.85546875" customWidth="1"/>
    <col min="10747" max="10747" width="18.85546875" customWidth="1"/>
    <col min="10748" max="10748" width="16.5703125" customWidth="1"/>
    <col min="10749" max="10749" width="12.28515625" bestFit="1" customWidth="1"/>
    <col min="10750" max="10750" width="11.28515625" customWidth="1"/>
    <col min="10751" max="10751" width="11.7109375" customWidth="1"/>
    <col min="10752" max="10752" width="11" customWidth="1"/>
    <col min="10753" max="10753" width="17" customWidth="1"/>
    <col min="10754" max="10754" width="11.28515625" bestFit="1" customWidth="1"/>
    <col min="10756" max="10756" width="14.5703125" customWidth="1"/>
    <col min="11000" max="11000" width="37.140625" customWidth="1"/>
    <col min="11001" max="11001" width="20.85546875" customWidth="1"/>
    <col min="11002" max="11002" width="23.85546875" customWidth="1"/>
    <col min="11003" max="11003" width="18.85546875" customWidth="1"/>
    <col min="11004" max="11004" width="16.5703125" customWidth="1"/>
    <col min="11005" max="11005" width="12.28515625" bestFit="1" customWidth="1"/>
    <col min="11006" max="11006" width="11.28515625" customWidth="1"/>
    <col min="11007" max="11007" width="11.7109375" customWidth="1"/>
    <col min="11008" max="11008" width="11" customWidth="1"/>
    <col min="11009" max="11009" width="17" customWidth="1"/>
    <col min="11010" max="11010" width="11.28515625" bestFit="1" customWidth="1"/>
    <col min="11012" max="11012" width="14.5703125" customWidth="1"/>
    <col min="11256" max="11256" width="37.140625" customWidth="1"/>
    <col min="11257" max="11257" width="20.85546875" customWidth="1"/>
    <col min="11258" max="11258" width="23.85546875" customWidth="1"/>
    <col min="11259" max="11259" width="18.85546875" customWidth="1"/>
    <col min="11260" max="11260" width="16.5703125" customWidth="1"/>
    <col min="11261" max="11261" width="12.28515625" bestFit="1" customWidth="1"/>
    <col min="11262" max="11262" width="11.28515625" customWidth="1"/>
    <col min="11263" max="11263" width="11.7109375" customWidth="1"/>
    <col min="11264" max="11264" width="11" customWidth="1"/>
    <col min="11265" max="11265" width="17" customWidth="1"/>
    <col min="11266" max="11266" width="11.28515625" bestFit="1" customWidth="1"/>
    <col min="11268" max="11268" width="14.5703125" customWidth="1"/>
    <col min="11512" max="11512" width="37.140625" customWidth="1"/>
    <col min="11513" max="11513" width="20.85546875" customWidth="1"/>
    <col min="11514" max="11514" width="23.85546875" customWidth="1"/>
    <col min="11515" max="11515" width="18.85546875" customWidth="1"/>
    <col min="11516" max="11516" width="16.5703125" customWidth="1"/>
    <col min="11517" max="11517" width="12.28515625" bestFit="1" customWidth="1"/>
    <col min="11518" max="11518" width="11.28515625" customWidth="1"/>
    <col min="11519" max="11519" width="11.7109375" customWidth="1"/>
    <col min="11520" max="11520" width="11" customWidth="1"/>
    <col min="11521" max="11521" width="17" customWidth="1"/>
    <col min="11522" max="11522" width="11.28515625" bestFit="1" customWidth="1"/>
    <col min="11524" max="11524" width="14.5703125" customWidth="1"/>
    <col min="11768" max="11768" width="37.140625" customWidth="1"/>
    <col min="11769" max="11769" width="20.85546875" customWidth="1"/>
    <col min="11770" max="11770" width="23.85546875" customWidth="1"/>
    <col min="11771" max="11771" width="18.85546875" customWidth="1"/>
    <col min="11772" max="11772" width="16.5703125" customWidth="1"/>
    <col min="11773" max="11773" width="12.28515625" bestFit="1" customWidth="1"/>
    <col min="11774" max="11774" width="11.28515625" customWidth="1"/>
    <col min="11775" max="11775" width="11.7109375" customWidth="1"/>
    <col min="11776" max="11776" width="11" customWidth="1"/>
    <col min="11777" max="11777" width="17" customWidth="1"/>
    <col min="11778" max="11778" width="11.28515625" bestFit="1" customWidth="1"/>
    <col min="11780" max="11780" width="14.5703125" customWidth="1"/>
    <col min="12024" max="12024" width="37.140625" customWidth="1"/>
    <col min="12025" max="12025" width="20.85546875" customWidth="1"/>
    <col min="12026" max="12026" width="23.85546875" customWidth="1"/>
    <col min="12027" max="12027" width="18.85546875" customWidth="1"/>
    <col min="12028" max="12028" width="16.5703125" customWidth="1"/>
    <col min="12029" max="12029" width="12.28515625" bestFit="1" customWidth="1"/>
    <col min="12030" max="12030" width="11.28515625" customWidth="1"/>
    <col min="12031" max="12031" width="11.7109375" customWidth="1"/>
    <col min="12032" max="12032" width="11" customWidth="1"/>
    <col min="12033" max="12033" width="17" customWidth="1"/>
    <col min="12034" max="12034" width="11.28515625" bestFit="1" customWidth="1"/>
    <col min="12036" max="12036" width="14.5703125" customWidth="1"/>
    <col min="12280" max="12280" width="37.140625" customWidth="1"/>
    <col min="12281" max="12281" width="20.85546875" customWidth="1"/>
    <col min="12282" max="12282" width="23.85546875" customWidth="1"/>
    <col min="12283" max="12283" width="18.85546875" customWidth="1"/>
    <col min="12284" max="12284" width="16.5703125" customWidth="1"/>
    <col min="12285" max="12285" width="12.28515625" bestFit="1" customWidth="1"/>
    <col min="12286" max="12286" width="11.28515625" customWidth="1"/>
    <col min="12287" max="12287" width="11.7109375" customWidth="1"/>
    <col min="12288" max="12288" width="11" customWidth="1"/>
    <col min="12289" max="12289" width="17" customWidth="1"/>
    <col min="12290" max="12290" width="11.28515625" bestFit="1" customWidth="1"/>
    <col min="12292" max="12292" width="14.5703125" customWidth="1"/>
    <col min="12536" max="12536" width="37.140625" customWidth="1"/>
    <col min="12537" max="12537" width="20.85546875" customWidth="1"/>
    <col min="12538" max="12538" width="23.85546875" customWidth="1"/>
    <col min="12539" max="12539" width="18.85546875" customWidth="1"/>
    <col min="12540" max="12540" width="16.5703125" customWidth="1"/>
    <col min="12541" max="12541" width="12.28515625" bestFit="1" customWidth="1"/>
    <col min="12542" max="12542" width="11.28515625" customWidth="1"/>
    <col min="12543" max="12543" width="11.7109375" customWidth="1"/>
    <col min="12544" max="12544" width="11" customWidth="1"/>
    <col min="12545" max="12545" width="17" customWidth="1"/>
    <col min="12546" max="12546" width="11.28515625" bestFit="1" customWidth="1"/>
    <col min="12548" max="12548" width="14.5703125" customWidth="1"/>
    <col min="12792" max="12792" width="37.140625" customWidth="1"/>
    <col min="12793" max="12793" width="20.85546875" customWidth="1"/>
    <col min="12794" max="12794" width="23.85546875" customWidth="1"/>
    <col min="12795" max="12795" width="18.85546875" customWidth="1"/>
    <col min="12796" max="12796" width="16.5703125" customWidth="1"/>
    <col min="12797" max="12797" width="12.28515625" bestFit="1" customWidth="1"/>
    <col min="12798" max="12798" width="11.28515625" customWidth="1"/>
    <col min="12799" max="12799" width="11.7109375" customWidth="1"/>
    <col min="12800" max="12800" width="11" customWidth="1"/>
    <col min="12801" max="12801" width="17" customWidth="1"/>
    <col min="12802" max="12802" width="11.28515625" bestFit="1" customWidth="1"/>
    <col min="12804" max="12804" width="14.5703125" customWidth="1"/>
    <col min="13048" max="13048" width="37.140625" customWidth="1"/>
    <col min="13049" max="13049" width="20.85546875" customWidth="1"/>
    <col min="13050" max="13050" width="23.85546875" customWidth="1"/>
    <col min="13051" max="13051" width="18.85546875" customWidth="1"/>
    <col min="13052" max="13052" width="16.5703125" customWidth="1"/>
    <col min="13053" max="13053" width="12.28515625" bestFit="1" customWidth="1"/>
    <col min="13054" max="13054" width="11.28515625" customWidth="1"/>
    <col min="13055" max="13055" width="11.7109375" customWidth="1"/>
    <col min="13056" max="13056" width="11" customWidth="1"/>
    <col min="13057" max="13057" width="17" customWidth="1"/>
    <col min="13058" max="13058" width="11.28515625" bestFit="1" customWidth="1"/>
    <col min="13060" max="13060" width="14.5703125" customWidth="1"/>
    <col min="13304" max="13304" width="37.140625" customWidth="1"/>
    <col min="13305" max="13305" width="20.85546875" customWidth="1"/>
    <col min="13306" max="13306" width="23.85546875" customWidth="1"/>
    <col min="13307" max="13307" width="18.85546875" customWidth="1"/>
    <col min="13308" max="13308" width="16.5703125" customWidth="1"/>
    <col min="13309" max="13309" width="12.28515625" bestFit="1" customWidth="1"/>
    <col min="13310" max="13310" width="11.28515625" customWidth="1"/>
    <col min="13311" max="13311" width="11.7109375" customWidth="1"/>
    <col min="13312" max="13312" width="11" customWidth="1"/>
    <col min="13313" max="13313" width="17" customWidth="1"/>
    <col min="13314" max="13314" width="11.28515625" bestFit="1" customWidth="1"/>
    <col min="13316" max="13316" width="14.5703125" customWidth="1"/>
    <col min="13560" max="13560" width="37.140625" customWidth="1"/>
    <col min="13561" max="13561" width="20.85546875" customWidth="1"/>
    <col min="13562" max="13562" width="23.85546875" customWidth="1"/>
    <col min="13563" max="13563" width="18.85546875" customWidth="1"/>
    <col min="13564" max="13564" width="16.5703125" customWidth="1"/>
    <col min="13565" max="13565" width="12.28515625" bestFit="1" customWidth="1"/>
    <col min="13566" max="13566" width="11.28515625" customWidth="1"/>
    <col min="13567" max="13567" width="11.7109375" customWidth="1"/>
    <col min="13568" max="13568" width="11" customWidth="1"/>
    <col min="13569" max="13569" width="17" customWidth="1"/>
    <col min="13570" max="13570" width="11.28515625" bestFit="1" customWidth="1"/>
    <col min="13572" max="13572" width="14.5703125" customWidth="1"/>
    <col min="13816" max="13816" width="37.140625" customWidth="1"/>
    <col min="13817" max="13817" width="20.85546875" customWidth="1"/>
    <col min="13818" max="13818" width="23.85546875" customWidth="1"/>
    <col min="13819" max="13819" width="18.85546875" customWidth="1"/>
    <col min="13820" max="13820" width="16.5703125" customWidth="1"/>
    <col min="13821" max="13821" width="12.28515625" bestFit="1" customWidth="1"/>
    <col min="13822" max="13822" width="11.28515625" customWidth="1"/>
    <col min="13823" max="13823" width="11.7109375" customWidth="1"/>
    <col min="13824" max="13824" width="11" customWidth="1"/>
    <col min="13825" max="13825" width="17" customWidth="1"/>
    <col min="13826" max="13826" width="11.28515625" bestFit="1" customWidth="1"/>
    <col min="13828" max="13828" width="14.5703125" customWidth="1"/>
    <col min="14072" max="14072" width="37.140625" customWidth="1"/>
    <col min="14073" max="14073" width="20.85546875" customWidth="1"/>
    <col min="14074" max="14074" width="23.85546875" customWidth="1"/>
    <col min="14075" max="14075" width="18.85546875" customWidth="1"/>
    <col min="14076" max="14076" width="16.5703125" customWidth="1"/>
    <col min="14077" max="14077" width="12.28515625" bestFit="1" customWidth="1"/>
    <col min="14078" max="14078" width="11.28515625" customWidth="1"/>
    <col min="14079" max="14079" width="11.7109375" customWidth="1"/>
    <col min="14080" max="14080" width="11" customWidth="1"/>
    <col min="14081" max="14081" width="17" customWidth="1"/>
    <col min="14082" max="14082" width="11.28515625" bestFit="1" customWidth="1"/>
    <col min="14084" max="14084" width="14.5703125" customWidth="1"/>
    <col min="14328" max="14328" width="37.140625" customWidth="1"/>
    <col min="14329" max="14329" width="20.85546875" customWidth="1"/>
    <col min="14330" max="14330" width="23.85546875" customWidth="1"/>
    <col min="14331" max="14331" width="18.85546875" customWidth="1"/>
    <col min="14332" max="14332" width="16.5703125" customWidth="1"/>
    <col min="14333" max="14333" width="12.28515625" bestFit="1" customWidth="1"/>
    <col min="14334" max="14334" width="11.28515625" customWidth="1"/>
    <col min="14335" max="14335" width="11.7109375" customWidth="1"/>
    <col min="14336" max="14336" width="11" customWidth="1"/>
    <col min="14337" max="14337" width="17" customWidth="1"/>
    <col min="14338" max="14338" width="11.28515625" bestFit="1" customWidth="1"/>
    <col min="14340" max="14340" width="14.5703125" customWidth="1"/>
    <col min="14584" max="14584" width="37.140625" customWidth="1"/>
    <col min="14585" max="14585" width="20.85546875" customWidth="1"/>
    <col min="14586" max="14586" width="23.85546875" customWidth="1"/>
    <col min="14587" max="14587" width="18.85546875" customWidth="1"/>
    <col min="14588" max="14588" width="16.5703125" customWidth="1"/>
    <col min="14589" max="14589" width="12.28515625" bestFit="1" customWidth="1"/>
    <col min="14590" max="14590" width="11.28515625" customWidth="1"/>
    <col min="14591" max="14591" width="11.7109375" customWidth="1"/>
    <col min="14592" max="14592" width="11" customWidth="1"/>
    <col min="14593" max="14593" width="17" customWidth="1"/>
    <col min="14594" max="14594" width="11.28515625" bestFit="1" customWidth="1"/>
    <col min="14596" max="14596" width="14.5703125" customWidth="1"/>
    <col min="14840" max="14840" width="37.140625" customWidth="1"/>
    <col min="14841" max="14841" width="20.85546875" customWidth="1"/>
    <col min="14842" max="14842" width="23.85546875" customWidth="1"/>
    <col min="14843" max="14843" width="18.85546875" customWidth="1"/>
    <col min="14844" max="14844" width="16.5703125" customWidth="1"/>
    <col min="14845" max="14845" width="12.28515625" bestFit="1" customWidth="1"/>
    <col min="14846" max="14846" width="11.28515625" customWidth="1"/>
    <col min="14847" max="14847" width="11.7109375" customWidth="1"/>
    <col min="14848" max="14848" width="11" customWidth="1"/>
    <col min="14849" max="14849" width="17" customWidth="1"/>
    <col min="14850" max="14850" width="11.28515625" bestFit="1" customWidth="1"/>
    <col min="14852" max="14852" width="14.5703125" customWidth="1"/>
    <col min="15096" max="15096" width="37.140625" customWidth="1"/>
    <col min="15097" max="15097" width="20.85546875" customWidth="1"/>
    <col min="15098" max="15098" width="23.85546875" customWidth="1"/>
    <col min="15099" max="15099" width="18.85546875" customWidth="1"/>
    <col min="15100" max="15100" width="16.5703125" customWidth="1"/>
    <col min="15101" max="15101" width="12.28515625" bestFit="1" customWidth="1"/>
    <col min="15102" max="15102" width="11.28515625" customWidth="1"/>
    <col min="15103" max="15103" width="11.7109375" customWidth="1"/>
    <col min="15104" max="15104" width="11" customWidth="1"/>
    <col min="15105" max="15105" width="17" customWidth="1"/>
    <col min="15106" max="15106" width="11.28515625" bestFit="1" customWidth="1"/>
    <col min="15108" max="15108" width="14.5703125" customWidth="1"/>
    <col min="15352" max="15352" width="37.140625" customWidth="1"/>
    <col min="15353" max="15353" width="20.85546875" customWidth="1"/>
    <col min="15354" max="15354" width="23.85546875" customWidth="1"/>
    <col min="15355" max="15355" width="18.85546875" customWidth="1"/>
    <col min="15356" max="15356" width="16.5703125" customWidth="1"/>
    <col min="15357" max="15357" width="12.28515625" bestFit="1" customWidth="1"/>
    <col min="15358" max="15358" width="11.28515625" customWidth="1"/>
    <col min="15359" max="15359" width="11.7109375" customWidth="1"/>
    <col min="15360" max="15360" width="11" customWidth="1"/>
    <col min="15361" max="15361" width="17" customWidth="1"/>
    <col min="15362" max="15362" width="11.28515625" bestFit="1" customWidth="1"/>
    <col min="15364" max="15364" width="14.5703125" customWidth="1"/>
    <col min="15608" max="15608" width="37.140625" customWidth="1"/>
    <col min="15609" max="15609" width="20.85546875" customWidth="1"/>
    <col min="15610" max="15610" width="23.85546875" customWidth="1"/>
    <col min="15611" max="15611" width="18.85546875" customWidth="1"/>
    <col min="15612" max="15612" width="16.5703125" customWidth="1"/>
    <col min="15613" max="15613" width="12.28515625" bestFit="1" customWidth="1"/>
    <col min="15614" max="15614" width="11.28515625" customWidth="1"/>
    <col min="15615" max="15615" width="11.7109375" customWidth="1"/>
    <col min="15616" max="15616" width="11" customWidth="1"/>
    <col min="15617" max="15617" width="17" customWidth="1"/>
    <col min="15618" max="15618" width="11.28515625" bestFit="1" customWidth="1"/>
    <col min="15620" max="15620" width="14.5703125" customWidth="1"/>
    <col min="15864" max="15864" width="37.140625" customWidth="1"/>
    <col min="15865" max="15865" width="20.85546875" customWidth="1"/>
    <col min="15866" max="15866" width="23.85546875" customWidth="1"/>
    <col min="15867" max="15867" width="18.85546875" customWidth="1"/>
    <col min="15868" max="15868" width="16.5703125" customWidth="1"/>
    <col min="15869" max="15869" width="12.28515625" bestFit="1" customWidth="1"/>
    <col min="15870" max="15870" width="11.28515625" customWidth="1"/>
    <col min="15871" max="15871" width="11.7109375" customWidth="1"/>
    <col min="15872" max="15872" width="11" customWidth="1"/>
    <col min="15873" max="15873" width="17" customWidth="1"/>
    <col min="15874" max="15874" width="11.28515625" bestFit="1" customWidth="1"/>
    <col min="15876" max="15876" width="14.5703125" customWidth="1"/>
    <col min="16120" max="16120" width="37.140625" customWidth="1"/>
    <col min="16121" max="16121" width="20.85546875" customWidth="1"/>
    <col min="16122" max="16122" width="23.85546875" customWidth="1"/>
    <col min="16123" max="16123" width="18.85546875" customWidth="1"/>
    <col min="16124" max="16124" width="16.5703125" customWidth="1"/>
    <col min="16125" max="16125" width="12.28515625" bestFit="1" customWidth="1"/>
    <col min="16126" max="16126" width="11.28515625" customWidth="1"/>
    <col min="16127" max="16127" width="11.7109375" customWidth="1"/>
    <col min="16128" max="16128" width="11" customWidth="1"/>
    <col min="16129" max="16129" width="17" customWidth="1"/>
    <col min="16130" max="16130" width="11.28515625" bestFit="1" customWidth="1"/>
    <col min="16132" max="16132" width="14.5703125" customWidth="1"/>
  </cols>
  <sheetData>
    <row r="1" spans="1:4" ht="15.75">
      <c r="A1" s="114"/>
      <c r="B1" s="115"/>
      <c r="C1" s="115"/>
      <c r="D1" s="116"/>
    </row>
    <row r="2" spans="1:4" ht="15.75">
      <c r="A2" s="114"/>
      <c r="B2" s="115" t="s">
        <v>139</v>
      </c>
      <c r="C2" s="115"/>
      <c r="D2" s="116"/>
    </row>
    <row r="3" spans="1:4" ht="15.75">
      <c r="A3" s="114"/>
      <c r="B3" s="115" t="s">
        <v>140</v>
      </c>
      <c r="C3" s="115"/>
      <c r="D3" s="116"/>
    </row>
    <row r="4" spans="1:4" ht="15.75">
      <c r="A4" s="114"/>
      <c r="B4" s="115" t="s">
        <v>170</v>
      </c>
      <c r="C4" s="115"/>
      <c r="D4" s="116"/>
    </row>
    <row r="5" spans="1:4" ht="15.75">
      <c r="A5" s="117"/>
      <c r="B5" s="115" t="s">
        <v>202</v>
      </c>
      <c r="C5" s="115"/>
      <c r="D5" s="116"/>
    </row>
    <row r="6" spans="1:4" ht="15.75">
      <c r="A6" s="117" t="s">
        <v>0</v>
      </c>
      <c r="B6" s="115"/>
      <c r="C6" s="115"/>
      <c r="D6" s="116"/>
    </row>
    <row r="7" spans="1:4" ht="15.75">
      <c r="A7" s="117" t="s">
        <v>1</v>
      </c>
      <c r="B7" s="115"/>
      <c r="C7" s="67"/>
      <c r="D7" s="118"/>
    </row>
    <row r="8" spans="1:4" ht="15.75">
      <c r="A8" s="117" t="s">
        <v>2</v>
      </c>
      <c r="B8" s="115">
        <v>2000</v>
      </c>
      <c r="C8" s="115"/>
      <c r="D8" s="5"/>
    </row>
    <row r="9" spans="1:4" ht="15.75">
      <c r="A9" s="117" t="s">
        <v>3</v>
      </c>
      <c r="B9" s="115">
        <v>1000</v>
      </c>
      <c r="C9" s="115"/>
      <c r="D9" s="116"/>
    </row>
    <row r="10" spans="1:4" ht="15.75">
      <c r="A10" s="117" t="s">
        <v>18</v>
      </c>
      <c r="B10" s="115"/>
      <c r="C10" s="115"/>
      <c r="D10" s="116"/>
    </row>
    <row r="11" spans="1:4" ht="15.75">
      <c r="A11" s="67">
        <f>SUM(B8:B11)</f>
        <v>3000</v>
      </c>
      <c r="B11" s="115"/>
      <c r="C11" s="115"/>
      <c r="D11" s="116"/>
    </row>
    <row r="12" spans="1:4" ht="15.75">
      <c r="A12" s="117"/>
      <c r="B12" s="115"/>
      <c r="C12" s="115"/>
      <c r="D12" s="116"/>
    </row>
    <row r="13" spans="1:4" ht="15.75">
      <c r="A13" s="117" t="s">
        <v>4</v>
      </c>
      <c r="B13" s="115"/>
      <c r="C13" s="115"/>
      <c r="D13" s="116"/>
    </row>
    <row r="14" spans="1:4" ht="15.75">
      <c r="A14" s="117" t="s">
        <v>5</v>
      </c>
      <c r="B14" s="115">
        <v>75</v>
      </c>
      <c r="C14" s="115"/>
      <c r="D14" s="116"/>
    </row>
    <row r="15" spans="1:4" ht="15.75">
      <c r="A15" s="117" t="s">
        <v>7</v>
      </c>
      <c r="B15" s="115">
        <v>500</v>
      </c>
      <c r="C15" s="115"/>
      <c r="D15" s="116"/>
    </row>
    <row r="16" spans="1:4" ht="15.75">
      <c r="A16" s="114" t="s">
        <v>112</v>
      </c>
      <c r="B16" s="115">
        <v>500</v>
      </c>
      <c r="C16" s="115"/>
      <c r="D16" s="116"/>
    </row>
    <row r="17" spans="1:12" ht="15.75">
      <c r="A17" s="117" t="s">
        <v>8</v>
      </c>
      <c r="B17" s="115">
        <v>50</v>
      </c>
      <c r="C17" s="115"/>
      <c r="D17" s="116"/>
    </row>
    <row r="18" spans="1:12" ht="15.75">
      <c r="A18" s="117" t="s">
        <v>9</v>
      </c>
      <c r="B18" s="115">
        <v>500</v>
      </c>
      <c r="C18" s="115"/>
      <c r="D18" s="119"/>
      <c r="E18" s="10"/>
      <c r="F18" s="10"/>
    </row>
    <row r="19" spans="1:12" ht="15.75">
      <c r="A19" s="117" t="s">
        <v>117</v>
      </c>
      <c r="B19" s="115">
        <v>300</v>
      </c>
      <c r="C19" s="115"/>
      <c r="D19" s="116"/>
    </row>
    <row r="20" spans="1:12" ht="15.75">
      <c r="A20" s="114" t="s">
        <v>124</v>
      </c>
      <c r="B20" s="115">
        <v>13000</v>
      </c>
      <c r="C20" s="115"/>
      <c r="D20" s="116"/>
    </row>
    <row r="21" spans="1:12" ht="15.75">
      <c r="A21" s="117" t="s">
        <v>78</v>
      </c>
      <c r="B21" s="115">
        <v>200</v>
      </c>
      <c r="C21" s="115"/>
      <c r="D21" s="116"/>
    </row>
    <row r="22" spans="1:12" ht="15.75">
      <c r="A22" s="117" t="s">
        <v>10</v>
      </c>
      <c r="B22" s="115">
        <v>3500</v>
      </c>
      <c r="C22" s="115"/>
      <c r="D22" s="116"/>
    </row>
    <row r="23" spans="1:12" ht="15.75">
      <c r="A23" s="117" t="s">
        <v>79</v>
      </c>
      <c r="B23" s="115">
        <v>5000</v>
      </c>
      <c r="C23" s="115"/>
      <c r="D23" s="116"/>
      <c r="E23" s="33"/>
    </row>
    <row r="24" spans="1:12" ht="15.75">
      <c r="A24" s="117" t="s">
        <v>131</v>
      </c>
      <c r="B24" s="115">
        <v>300</v>
      </c>
      <c r="C24" s="115"/>
      <c r="D24" s="116"/>
      <c r="E24" s="33"/>
    </row>
    <row r="25" spans="1:12" ht="15.75">
      <c r="A25" s="117" t="s">
        <v>12</v>
      </c>
      <c r="B25" s="115">
        <v>7000</v>
      </c>
      <c r="C25" s="115"/>
      <c r="D25" s="116"/>
    </row>
    <row r="26" spans="1:12" ht="15.75">
      <c r="A26" s="120">
        <f>SUM(B13:B26)</f>
        <v>30925</v>
      </c>
      <c r="B26" s="121"/>
      <c r="C26" s="121"/>
      <c r="D26" s="116"/>
    </row>
    <row r="27" spans="1:12" ht="15.75">
      <c r="A27" s="138">
        <f>A26*74%</f>
        <v>22884.5</v>
      </c>
      <c r="B27" s="139" t="s">
        <v>113</v>
      </c>
      <c r="C27" s="140"/>
      <c r="D27" s="116"/>
    </row>
    <row r="28" spans="1:12" ht="15.75">
      <c r="A28" s="138">
        <f>A26*26%</f>
        <v>8040.5</v>
      </c>
      <c r="B28" s="139" t="s">
        <v>114</v>
      </c>
      <c r="C28" s="139"/>
      <c r="D28" s="116"/>
    </row>
    <row r="29" spans="1:12" ht="15.75">
      <c r="A29" s="141">
        <f>A26</f>
        <v>30925</v>
      </c>
      <c r="B29" s="139" t="s">
        <v>171</v>
      </c>
      <c r="C29" s="139"/>
      <c r="D29" s="116"/>
    </row>
    <row r="30" spans="1:12" ht="15.75">
      <c r="A30" s="123"/>
      <c r="B30" s="115"/>
      <c r="C30" s="122"/>
      <c r="D30" s="116"/>
      <c r="E30" s="10"/>
    </row>
    <row r="31" spans="1:12" ht="15.75">
      <c r="A31" s="117" t="s">
        <v>13</v>
      </c>
      <c r="B31" s="115"/>
      <c r="C31" s="115"/>
      <c r="D31" s="116"/>
      <c r="E31" s="10"/>
      <c r="J31" s="3"/>
    </row>
    <row r="32" spans="1:12" ht="15.75">
      <c r="A32" s="117" t="s">
        <v>17</v>
      </c>
      <c r="B32" s="124">
        <v>10329.5</v>
      </c>
      <c r="C32" s="115"/>
      <c r="D32" s="116"/>
      <c r="E32" s="10"/>
      <c r="I32" s="10"/>
      <c r="J32" s="10"/>
      <c r="K32" s="10"/>
      <c r="L32" s="10"/>
    </row>
    <row r="33" spans="1:12" ht="15.75">
      <c r="A33" s="117" t="s">
        <v>18</v>
      </c>
      <c r="B33" s="115">
        <v>17153</v>
      </c>
      <c r="C33" s="136" t="s">
        <v>154</v>
      </c>
      <c r="D33" s="119"/>
      <c r="E33" s="10"/>
      <c r="F33" s="10"/>
      <c r="G33" s="10"/>
      <c r="I33" s="10"/>
      <c r="J33" s="10"/>
      <c r="K33" s="10"/>
      <c r="L33" s="10"/>
    </row>
    <row r="34" spans="1:12" ht="64.5" customHeight="1">
      <c r="A34" s="126">
        <f>SUM(B31:B33)</f>
        <v>27482.5</v>
      </c>
      <c r="B34" s="125" t="s">
        <v>144</v>
      </c>
      <c r="C34" s="137" t="s">
        <v>175</v>
      </c>
      <c r="D34" s="119"/>
      <c r="E34" s="10"/>
      <c r="F34" s="10"/>
      <c r="G34" s="10"/>
      <c r="I34" s="10"/>
      <c r="J34" s="10"/>
      <c r="K34" s="10"/>
      <c r="L34" s="10"/>
    </row>
    <row r="35" spans="1:12" ht="15.75">
      <c r="A35" s="114"/>
      <c r="B35" s="115"/>
      <c r="C35" s="115"/>
      <c r="D35" s="116"/>
      <c r="E35" s="9"/>
      <c r="F35" s="9"/>
      <c r="G35" s="10"/>
      <c r="J35" s="10"/>
      <c r="K35" s="10"/>
      <c r="L35" s="10"/>
    </row>
    <row r="36" spans="1:12" ht="15.75">
      <c r="A36" s="114"/>
      <c r="B36" s="115"/>
      <c r="C36" s="115"/>
      <c r="D36" s="116"/>
      <c r="E36" s="3"/>
      <c r="F36" s="3"/>
    </row>
    <row r="37" spans="1:12" ht="15.75">
      <c r="A37" s="117" t="s">
        <v>24</v>
      </c>
      <c r="B37" s="115">
        <v>150</v>
      </c>
      <c r="C37" s="115"/>
      <c r="D37" s="116"/>
    </row>
    <row r="38" spans="1:12" ht="15.75">
      <c r="A38" s="67">
        <f>B37</f>
        <v>150</v>
      </c>
      <c r="B38" s="115"/>
      <c r="C38" s="115"/>
      <c r="D38" s="116"/>
    </row>
    <row r="39" spans="1:12" ht="15.75">
      <c r="A39" s="117"/>
      <c r="B39" s="115"/>
      <c r="C39" s="115"/>
      <c r="D39" s="123"/>
    </row>
    <row r="40" spans="1:12" ht="15.75">
      <c r="A40" s="114" t="s">
        <v>27</v>
      </c>
      <c r="B40" s="115">
        <v>21640</v>
      </c>
      <c r="C40" s="87"/>
      <c r="D40" s="119"/>
    </row>
    <row r="41" spans="1:12" ht="15.75">
      <c r="A41" s="67">
        <f>B40</f>
        <v>21640</v>
      </c>
      <c r="B41" s="115"/>
      <c r="C41" s="115"/>
      <c r="D41" s="119"/>
    </row>
    <row r="42" spans="1:12" ht="63">
      <c r="A42" s="125" t="s">
        <v>144</v>
      </c>
      <c r="B42" s="115"/>
      <c r="C42" s="115"/>
      <c r="D42" s="119"/>
    </row>
    <row r="43" spans="1:12" ht="15.75">
      <c r="A43" s="114"/>
      <c r="B43" s="115"/>
      <c r="C43" s="115"/>
      <c r="D43" s="119"/>
      <c r="E43" s="10"/>
      <c r="F43" s="10"/>
    </row>
    <row r="44" spans="1:12" ht="15.75">
      <c r="A44" s="117" t="s">
        <v>173</v>
      </c>
      <c r="B44" s="115"/>
      <c r="C44" s="115"/>
      <c r="D44" s="119"/>
      <c r="E44" s="10"/>
      <c r="F44" s="10"/>
    </row>
    <row r="45" spans="1:12" ht="15.75">
      <c r="A45" s="126">
        <f>B40+B37+A34+A26+A11</f>
        <v>83197.5</v>
      </c>
      <c r="B45" s="115">
        <f>SUM(B6:B44)</f>
        <v>83197.5</v>
      </c>
      <c r="C45" s="115"/>
      <c r="D45" s="116"/>
    </row>
    <row r="46" spans="1:12" ht="15.75">
      <c r="A46" s="117"/>
      <c r="B46" s="115"/>
      <c r="C46" s="115"/>
      <c r="D46" s="116"/>
    </row>
    <row r="47" spans="1:12" ht="15.75">
      <c r="A47" s="117"/>
      <c r="B47" s="115"/>
      <c r="C47" s="115"/>
      <c r="D47" s="119"/>
    </row>
    <row r="48" spans="1:12" ht="15.75">
      <c r="A48" s="117"/>
      <c r="B48" s="115"/>
      <c r="C48" s="115"/>
      <c r="D48" s="116"/>
    </row>
    <row r="49" spans="1:5" ht="15.75">
      <c r="A49" s="117"/>
      <c r="B49" s="115"/>
      <c r="C49" s="115"/>
      <c r="D49" s="116"/>
    </row>
    <row r="50" spans="1:5" ht="15.75">
      <c r="A50" s="117" t="s">
        <v>28</v>
      </c>
      <c r="B50" s="115"/>
      <c r="C50" s="115"/>
      <c r="D50" s="116"/>
    </row>
    <row r="51" spans="1:5" ht="15.75">
      <c r="A51" s="117"/>
      <c r="B51" s="115"/>
      <c r="C51" s="115"/>
      <c r="D51" s="119"/>
    </row>
    <row r="52" spans="1:5" ht="15.75">
      <c r="A52" s="117" t="s">
        <v>29</v>
      </c>
      <c r="B52" s="115"/>
      <c r="C52" s="115"/>
      <c r="D52" s="119"/>
      <c r="E52" s="10"/>
    </row>
    <row r="53" spans="1:5" ht="15.75">
      <c r="A53" s="117" t="s">
        <v>30</v>
      </c>
      <c r="B53" s="115">
        <f>-1250*12</f>
        <v>-15000</v>
      </c>
      <c r="C53" s="135" t="s">
        <v>182</v>
      </c>
      <c r="D53" s="116"/>
      <c r="E53" s="10"/>
    </row>
    <row r="54" spans="1:5" ht="15.75">
      <c r="A54" s="117" t="s">
        <v>32</v>
      </c>
      <c r="B54" s="115">
        <f>-13.5*38*12</f>
        <v>-6156</v>
      </c>
      <c r="C54" s="135" t="s">
        <v>181</v>
      </c>
      <c r="D54" s="116"/>
      <c r="E54" s="10"/>
    </row>
    <row r="55" spans="1:5" ht="15.75">
      <c r="A55" s="117" t="s">
        <v>33</v>
      </c>
      <c r="B55" s="115">
        <v>-2200</v>
      </c>
      <c r="C55" s="115"/>
      <c r="D55" s="116"/>
      <c r="E55" s="10"/>
    </row>
    <row r="56" spans="1:5" ht="15.75">
      <c r="A56" s="126">
        <f>SUM(B52:B56)</f>
        <v>-23356</v>
      </c>
      <c r="B56" s="115"/>
      <c r="C56" s="115"/>
      <c r="D56" s="116"/>
      <c r="E56" s="10"/>
    </row>
    <row r="57" spans="1:5" ht="15.75">
      <c r="A57" s="117"/>
      <c r="B57" s="115"/>
      <c r="C57" s="115"/>
      <c r="D57" s="116"/>
      <c r="E57" s="10"/>
    </row>
    <row r="58" spans="1:5" ht="15.75">
      <c r="A58" s="117" t="s">
        <v>34</v>
      </c>
      <c r="B58" s="115"/>
      <c r="C58" s="115"/>
      <c r="D58" s="116"/>
      <c r="E58" s="10"/>
    </row>
    <row r="59" spans="1:5" ht="15.75">
      <c r="A59" s="117" t="s">
        <v>37</v>
      </c>
      <c r="B59" s="115">
        <v>-50</v>
      </c>
      <c r="C59" s="115"/>
      <c r="D59" s="116"/>
    </row>
    <row r="60" spans="1:5" ht="15.75">
      <c r="A60" s="117" t="s">
        <v>38</v>
      </c>
      <c r="B60" s="115">
        <v>-1200</v>
      </c>
      <c r="C60" s="115"/>
      <c r="D60" s="116"/>
    </row>
    <row r="61" spans="1:5" ht="15.75">
      <c r="A61" s="126">
        <f>SUM(B58:B61)</f>
        <v>-1250</v>
      </c>
      <c r="B61" s="115"/>
      <c r="C61" s="115"/>
      <c r="D61" s="116"/>
    </row>
    <row r="62" spans="1:5" ht="15.75">
      <c r="A62" s="117"/>
      <c r="B62" s="115"/>
      <c r="C62" s="115"/>
      <c r="D62" s="116"/>
    </row>
    <row r="63" spans="1:5" ht="15.75">
      <c r="A63" s="117" t="s">
        <v>39</v>
      </c>
      <c r="B63" s="115"/>
      <c r="C63" s="115"/>
      <c r="D63" s="116"/>
    </row>
    <row r="64" spans="1:5" ht="15.75">
      <c r="A64" s="117" t="s">
        <v>40</v>
      </c>
      <c r="B64" s="115">
        <f>-13.5*38*18</f>
        <v>-9234</v>
      </c>
      <c r="C64" s="131" t="s">
        <v>180</v>
      </c>
      <c r="D64" s="116"/>
    </row>
    <row r="65" spans="1:4" ht="15.75">
      <c r="A65" s="117" t="s">
        <v>41</v>
      </c>
      <c r="B65" s="115">
        <v>960</v>
      </c>
      <c r="C65" s="131" t="s">
        <v>159</v>
      </c>
      <c r="D65" s="116"/>
    </row>
    <row r="66" spans="1:4" ht="15.75">
      <c r="A66" s="117" t="s">
        <v>80</v>
      </c>
      <c r="B66" s="115">
        <v>-3180</v>
      </c>
      <c r="C66" s="115"/>
      <c r="D66" s="116"/>
    </row>
    <row r="67" spans="1:4" ht="15.75">
      <c r="A67" s="117" t="s">
        <v>81</v>
      </c>
      <c r="B67" s="115">
        <v>-3780</v>
      </c>
      <c r="C67" s="115"/>
      <c r="D67" s="116"/>
    </row>
    <row r="68" spans="1:4" ht="15.75">
      <c r="A68" s="117" t="s">
        <v>83</v>
      </c>
      <c r="B68" s="115">
        <v>-3180</v>
      </c>
      <c r="C68" s="121"/>
      <c r="D68" s="116"/>
    </row>
    <row r="69" spans="1:4" ht="15.75">
      <c r="A69" s="117" t="s">
        <v>82</v>
      </c>
      <c r="B69" s="115">
        <v>-600</v>
      </c>
      <c r="C69" s="121"/>
      <c r="D69" s="116"/>
    </row>
    <row r="70" spans="1:4" ht="15.75">
      <c r="A70" s="117" t="s">
        <v>42</v>
      </c>
      <c r="B70" s="115">
        <v>-3420</v>
      </c>
      <c r="C70" s="121"/>
      <c r="D70" s="116"/>
    </row>
    <row r="71" spans="1:4" ht="15.75">
      <c r="A71" s="126">
        <f>SUM(B63:B71)</f>
        <v>-22434</v>
      </c>
      <c r="B71" s="115"/>
      <c r="C71" s="121"/>
      <c r="D71" s="116"/>
    </row>
    <row r="72" spans="1:4" ht="15.75">
      <c r="A72" s="117"/>
      <c r="B72" s="115"/>
      <c r="C72" s="121"/>
      <c r="D72" s="116"/>
    </row>
    <row r="73" spans="1:4" ht="15.75">
      <c r="A73" s="117" t="s">
        <v>43</v>
      </c>
      <c r="B73" s="115"/>
      <c r="C73" s="121"/>
      <c r="D73" s="116"/>
    </row>
    <row r="74" spans="1:4" ht="15.75">
      <c r="A74" s="117" t="s">
        <v>112</v>
      </c>
      <c r="B74" s="115">
        <v>-100</v>
      </c>
      <c r="C74" s="121"/>
      <c r="D74" s="116"/>
    </row>
    <row r="75" spans="1:4" ht="15.75">
      <c r="A75" s="117" t="s">
        <v>117</v>
      </c>
      <c r="B75" s="115">
        <v>-100</v>
      </c>
      <c r="C75" s="121"/>
      <c r="D75" s="116"/>
    </row>
    <row r="76" spans="1:4" ht="15.75">
      <c r="A76" s="114" t="s">
        <v>124</v>
      </c>
      <c r="B76" s="115">
        <v>-3000</v>
      </c>
      <c r="C76" s="121"/>
      <c r="D76" s="116"/>
    </row>
    <row r="77" spans="1:4" ht="15.75">
      <c r="A77" s="117" t="s">
        <v>10</v>
      </c>
      <c r="B77" s="127">
        <v>-2500</v>
      </c>
      <c r="C77" s="121"/>
      <c r="D77" s="116"/>
    </row>
    <row r="78" spans="1:4" ht="15.75">
      <c r="A78" s="117" t="s">
        <v>12</v>
      </c>
      <c r="B78" s="127">
        <v>-1000</v>
      </c>
      <c r="C78" s="121"/>
      <c r="D78" s="116"/>
    </row>
    <row r="79" spans="1:4" ht="15.75">
      <c r="A79" s="126">
        <f>SUM(B73:B79)</f>
        <v>-6700</v>
      </c>
      <c r="B79" s="115"/>
      <c r="C79" s="115"/>
      <c r="D79" s="116"/>
    </row>
    <row r="80" spans="1:4" ht="15.75">
      <c r="A80" s="117"/>
      <c r="B80" s="115"/>
      <c r="C80" s="121"/>
      <c r="D80" s="116"/>
    </row>
    <row r="81" spans="1:5" ht="15.75">
      <c r="A81" s="117" t="s">
        <v>3</v>
      </c>
      <c r="B81" s="115" t="s">
        <v>141</v>
      </c>
      <c r="C81" s="121"/>
      <c r="D81" s="116"/>
    </row>
    <row r="82" spans="1:5" ht="15.75">
      <c r="A82" s="117" t="s">
        <v>108</v>
      </c>
      <c r="B82" s="115">
        <f>-40*3*8+80</f>
        <v>-880</v>
      </c>
      <c r="C82" s="135" t="s">
        <v>162</v>
      </c>
      <c r="D82" s="116"/>
    </row>
    <row r="83" spans="1:5" ht="15.75">
      <c r="A83" s="117" t="s">
        <v>109</v>
      </c>
      <c r="B83" s="115">
        <f>-120*2*6</f>
        <v>-1440</v>
      </c>
      <c r="C83" s="135" t="s">
        <v>163</v>
      </c>
      <c r="D83" s="116"/>
    </row>
    <row r="84" spans="1:5" ht="15.75">
      <c r="A84" s="117" t="s">
        <v>110</v>
      </c>
      <c r="B84" s="115">
        <v>-1200</v>
      </c>
      <c r="C84" s="135" t="s">
        <v>164</v>
      </c>
      <c r="D84" s="116"/>
    </row>
    <row r="85" spans="1:5" ht="47.25">
      <c r="A85" s="128" t="s">
        <v>84</v>
      </c>
      <c r="B85" s="115">
        <v>-720</v>
      </c>
      <c r="C85" s="135" t="s">
        <v>98</v>
      </c>
      <c r="D85" s="116"/>
    </row>
    <row r="86" spans="1:5" ht="15.75">
      <c r="A86" s="117" t="s">
        <v>44</v>
      </c>
      <c r="B86" s="115">
        <v>-300</v>
      </c>
      <c r="C86" s="131"/>
      <c r="D86" s="116"/>
    </row>
    <row r="87" spans="1:5" ht="15.75">
      <c r="A87" s="117" t="s">
        <v>85</v>
      </c>
      <c r="B87" s="115">
        <v>-3500</v>
      </c>
      <c r="C87" s="133"/>
      <c r="D87" s="116"/>
    </row>
    <row r="88" spans="1:5" ht="15.75">
      <c r="A88" s="117" t="s">
        <v>86</v>
      </c>
      <c r="B88" s="115">
        <v>-14040</v>
      </c>
      <c r="C88" s="132" t="s">
        <v>172</v>
      </c>
      <c r="D88" s="116"/>
    </row>
    <row r="89" spans="1:5" ht="15.75">
      <c r="A89" s="126">
        <f>SUM(B81:B89)</f>
        <v>-22080</v>
      </c>
      <c r="B89" s="115"/>
      <c r="C89" s="121"/>
      <c r="D89" s="116"/>
    </row>
    <row r="90" spans="1:5" ht="15.75">
      <c r="A90" s="117"/>
      <c r="B90" s="115"/>
      <c r="C90" s="121"/>
      <c r="D90" s="116"/>
    </row>
    <row r="91" spans="1:5" ht="15.75">
      <c r="A91" s="117" t="s">
        <v>45</v>
      </c>
      <c r="B91" s="115"/>
      <c r="C91" s="121"/>
      <c r="D91" s="116"/>
    </row>
    <row r="92" spans="1:5" ht="15.75">
      <c r="A92" s="117" t="s">
        <v>46</v>
      </c>
      <c r="B92" s="115">
        <v>-350</v>
      </c>
      <c r="C92" s="121"/>
      <c r="D92" s="116"/>
      <c r="E92" s="3"/>
    </row>
    <row r="93" spans="1:5" ht="15.75">
      <c r="A93" s="117" t="s">
        <v>47</v>
      </c>
      <c r="B93" s="115">
        <v>-1500</v>
      </c>
      <c r="C93" s="121"/>
      <c r="D93" s="116"/>
    </row>
    <row r="94" spans="1:5" ht="15.75">
      <c r="A94" s="117" t="s">
        <v>48</v>
      </c>
      <c r="B94" s="115">
        <v>-500</v>
      </c>
      <c r="C94" s="121"/>
      <c r="D94" s="116"/>
    </row>
    <row r="95" spans="1:5" ht="15.75">
      <c r="A95" s="114" t="s">
        <v>120</v>
      </c>
      <c r="B95" s="115">
        <v>-200</v>
      </c>
      <c r="C95" s="121"/>
      <c r="D95" s="116"/>
    </row>
    <row r="96" spans="1:5" ht="15.75">
      <c r="A96" s="129">
        <f>SUM(B91:B96)</f>
        <v>-2550</v>
      </c>
      <c r="B96" s="115"/>
      <c r="C96" s="115"/>
      <c r="D96" s="116"/>
    </row>
    <row r="97" spans="1:6" ht="15.75">
      <c r="A97" s="117"/>
      <c r="B97" s="115"/>
      <c r="C97" s="115"/>
      <c r="D97" s="116"/>
    </row>
    <row r="98" spans="1:6" ht="15.75">
      <c r="A98" s="117"/>
      <c r="B98" s="115"/>
      <c r="C98" s="115"/>
      <c r="D98" s="116"/>
    </row>
    <row r="99" spans="1:6" ht="15.75">
      <c r="A99" s="117" t="s">
        <v>99</v>
      </c>
      <c r="B99" s="115"/>
      <c r="C99" s="115"/>
      <c r="D99" s="116"/>
    </row>
    <row r="100" spans="1:6" ht="15.75">
      <c r="A100" s="117" t="s">
        <v>49</v>
      </c>
      <c r="B100" s="115">
        <v>-750</v>
      </c>
      <c r="C100" s="115"/>
      <c r="D100" s="116"/>
    </row>
    <row r="101" spans="1:6" ht="15.75">
      <c r="A101" s="117" t="s">
        <v>50</v>
      </c>
      <c r="B101" s="115">
        <v>-175</v>
      </c>
      <c r="C101" s="115"/>
      <c r="D101" s="116"/>
    </row>
    <row r="102" spans="1:6" ht="15.75">
      <c r="A102" s="129">
        <f>SUM(B99:B102)</f>
        <v>-925</v>
      </c>
      <c r="B102" s="115"/>
      <c r="C102" s="115"/>
      <c r="D102" s="116"/>
    </row>
    <row r="103" spans="1:6" ht="15.75">
      <c r="A103" s="117"/>
      <c r="B103" s="115"/>
      <c r="C103" s="115"/>
      <c r="D103" s="116"/>
    </row>
    <row r="104" spans="1:6" ht="15.75">
      <c r="A104" s="117"/>
      <c r="B104" s="115"/>
      <c r="C104" s="115"/>
      <c r="D104" s="116"/>
    </row>
    <row r="105" spans="1:6" ht="15.75">
      <c r="A105" s="117" t="s">
        <v>51</v>
      </c>
      <c r="B105" s="115"/>
      <c r="C105" s="115"/>
      <c r="D105" s="116"/>
    </row>
    <row r="106" spans="1:6" ht="15.75">
      <c r="A106" s="117" t="s">
        <v>52</v>
      </c>
      <c r="B106" s="115"/>
      <c r="C106" s="115"/>
      <c r="D106" s="116"/>
    </row>
    <row r="107" spans="1:6" ht="15.75">
      <c r="A107" s="117" t="s">
        <v>53</v>
      </c>
      <c r="B107" s="115">
        <v>-250</v>
      </c>
      <c r="C107" s="115"/>
      <c r="D107" s="116"/>
    </row>
    <row r="108" spans="1:6" ht="15.75">
      <c r="A108" s="117" t="s">
        <v>54</v>
      </c>
      <c r="B108" s="115">
        <v>-100</v>
      </c>
      <c r="C108" s="115"/>
      <c r="D108" s="116"/>
    </row>
    <row r="109" spans="1:6" ht="15.75">
      <c r="A109" s="117" t="s">
        <v>55</v>
      </c>
      <c r="B109" s="115">
        <v>-100</v>
      </c>
      <c r="C109" s="115"/>
      <c r="D109" s="116"/>
    </row>
    <row r="110" spans="1:6" ht="15.75">
      <c r="A110" s="117" t="s">
        <v>56</v>
      </c>
      <c r="B110" s="115">
        <v>-140</v>
      </c>
      <c r="C110" s="115"/>
      <c r="D110" s="116"/>
      <c r="F110" s="3"/>
    </row>
    <row r="111" spans="1:6" ht="15.75">
      <c r="A111" s="117" t="s">
        <v>87</v>
      </c>
      <c r="B111" s="115"/>
      <c r="C111" s="115"/>
      <c r="D111" s="116"/>
      <c r="E111" s="3"/>
    </row>
    <row r="112" spans="1:6" ht="15.75">
      <c r="A112" s="129">
        <f>SUM(B106:B111)</f>
        <v>-590</v>
      </c>
      <c r="B112" s="115"/>
      <c r="C112" s="115"/>
      <c r="D112" s="116"/>
    </row>
    <row r="113" spans="1:4" ht="15.75">
      <c r="A113" s="117"/>
      <c r="B113" s="115"/>
      <c r="C113" s="115"/>
      <c r="D113" s="116"/>
    </row>
    <row r="114" spans="1:4" ht="15.75">
      <c r="A114" s="117" t="s">
        <v>57</v>
      </c>
      <c r="B114" s="115"/>
      <c r="C114" s="115"/>
      <c r="D114" s="116"/>
    </row>
    <row r="115" spans="1:4" ht="15.75">
      <c r="A115" s="117" t="s">
        <v>58</v>
      </c>
      <c r="B115" s="115">
        <v>-275</v>
      </c>
      <c r="C115" s="115"/>
      <c r="D115" s="116"/>
    </row>
    <row r="116" spans="1:4" ht="15.75">
      <c r="A116" s="117" t="s">
        <v>88</v>
      </c>
      <c r="B116" s="115">
        <v>-25</v>
      </c>
      <c r="C116" s="115"/>
      <c r="D116" s="116"/>
    </row>
    <row r="117" spans="1:4" ht="15.75">
      <c r="A117" s="126">
        <f>SUM(B114:B117)</f>
        <v>-300</v>
      </c>
      <c r="B117" s="115"/>
      <c r="C117" s="115"/>
      <c r="D117" s="116"/>
    </row>
    <row r="118" spans="1:4" ht="15.75">
      <c r="A118" s="117"/>
      <c r="B118" s="115"/>
      <c r="C118" s="115"/>
      <c r="D118" s="116"/>
    </row>
    <row r="119" spans="1:4" ht="15.75">
      <c r="A119" s="117" t="s">
        <v>59</v>
      </c>
      <c r="B119" s="115"/>
      <c r="C119" s="115"/>
      <c r="D119" s="116"/>
    </row>
    <row r="120" spans="1:4" ht="15.75">
      <c r="A120" s="117" t="s">
        <v>61</v>
      </c>
      <c r="B120" s="115">
        <v>-200</v>
      </c>
      <c r="C120" s="115"/>
      <c r="D120" s="116"/>
    </row>
    <row r="121" spans="1:4" ht="15.75">
      <c r="A121" s="117" t="s">
        <v>62</v>
      </c>
      <c r="B121" s="115">
        <v>-200</v>
      </c>
      <c r="C121" s="115"/>
      <c r="D121" s="123"/>
    </row>
    <row r="122" spans="1:4" ht="15.75">
      <c r="A122" s="117" t="s">
        <v>63</v>
      </c>
      <c r="B122" s="115">
        <v>-150</v>
      </c>
      <c r="C122" s="124"/>
      <c r="D122" s="116"/>
    </row>
    <row r="123" spans="1:4" ht="15.75">
      <c r="A123" s="117" t="s">
        <v>64</v>
      </c>
      <c r="B123" s="115">
        <v>-200</v>
      </c>
      <c r="C123" s="115"/>
      <c r="D123" s="116"/>
    </row>
    <row r="124" spans="1:4" ht="18.75" customHeight="1">
      <c r="A124" s="117" t="s">
        <v>65</v>
      </c>
      <c r="B124" s="115">
        <v>-150</v>
      </c>
      <c r="C124" s="121"/>
      <c r="D124" s="116"/>
    </row>
    <row r="125" spans="1:4" ht="15.75">
      <c r="A125" s="117" t="s">
        <v>66</v>
      </c>
      <c r="B125" s="115">
        <v>-200</v>
      </c>
      <c r="C125" s="121"/>
      <c r="D125" s="116"/>
    </row>
    <row r="126" spans="1:4" ht="15.75">
      <c r="A126" s="126">
        <f>SUM(B120:B126)</f>
        <v>-1100</v>
      </c>
      <c r="B126" s="115"/>
      <c r="C126" s="121"/>
      <c r="D126" s="116"/>
    </row>
    <row r="127" spans="1:4" ht="15.75">
      <c r="A127" s="117"/>
      <c r="B127" s="115"/>
      <c r="C127" s="121"/>
      <c r="D127" s="116"/>
    </row>
    <row r="128" spans="1:4" ht="15.75">
      <c r="A128" s="128" t="s">
        <v>67</v>
      </c>
      <c r="B128" s="67"/>
      <c r="C128" s="121"/>
      <c r="D128" s="116"/>
    </row>
    <row r="129" spans="1:4" ht="15.75">
      <c r="A129" s="117" t="s">
        <v>68</v>
      </c>
      <c r="B129" s="115">
        <v>-200</v>
      </c>
      <c r="C129" s="121"/>
      <c r="D129" s="116"/>
    </row>
    <row r="130" spans="1:4" ht="15.75">
      <c r="A130" s="117" t="s">
        <v>70</v>
      </c>
      <c r="B130" s="115">
        <f>-59*4</f>
        <v>-236</v>
      </c>
      <c r="C130" s="134" t="s">
        <v>168</v>
      </c>
      <c r="D130" s="116"/>
    </row>
    <row r="131" spans="1:4" ht="15.75">
      <c r="A131" s="130">
        <f>SUM(B128:B131)</f>
        <v>-436</v>
      </c>
      <c r="B131" s="115"/>
      <c r="C131" s="121"/>
      <c r="D131" s="116"/>
    </row>
    <row r="132" spans="1:4" ht="15.75">
      <c r="A132" s="117"/>
      <c r="B132" s="67"/>
      <c r="C132" s="121"/>
      <c r="D132" s="116"/>
    </row>
    <row r="133" spans="1:4" ht="15.75">
      <c r="A133" s="117" t="s">
        <v>71</v>
      </c>
      <c r="B133" s="67"/>
      <c r="C133" s="121"/>
      <c r="D133" s="116"/>
    </row>
    <row r="134" spans="1:4" ht="15.75">
      <c r="A134" s="130">
        <f>A131+A126+A112+A102+A96+A89+A79+A71+A61+A56+A117</f>
        <v>-81721</v>
      </c>
      <c r="B134" s="115">
        <f>SUM(B50:B133)</f>
        <v>-81721</v>
      </c>
      <c r="C134" s="121"/>
      <c r="D134" s="116"/>
    </row>
    <row r="135" spans="1:4" ht="15.75">
      <c r="A135" s="117"/>
      <c r="B135" s="115"/>
      <c r="C135" s="121"/>
      <c r="D135" s="116"/>
    </row>
    <row r="136" spans="1:4" ht="15.75">
      <c r="A136" s="117"/>
      <c r="B136" s="115"/>
      <c r="C136" s="115"/>
      <c r="D136" s="116"/>
    </row>
    <row r="137" spans="1:4" ht="15.75">
      <c r="A137" s="115" t="s">
        <v>174</v>
      </c>
      <c r="B137" s="115"/>
      <c r="C137" s="115"/>
      <c r="D137" s="116"/>
    </row>
    <row r="138" spans="1:4" ht="21">
      <c r="A138" s="152">
        <f>A45+A134</f>
        <v>1476.5</v>
      </c>
      <c r="B138" s="59"/>
      <c r="C138" s="115"/>
      <c r="D138" s="116"/>
    </row>
    <row r="139" spans="1:4" ht="21">
      <c r="A139" s="151" t="s">
        <v>106</v>
      </c>
      <c r="B139" s="59"/>
      <c r="C139" s="115"/>
      <c r="D139" s="116"/>
    </row>
    <row r="140" spans="1:4">
      <c r="A140" s="8"/>
    </row>
    <row r="141" spans="1:4">
      <c r="A141" s="8"/>
    </row>
    <row r="142" spans="1:4">
      <c r="A142" s="8"/>
    </row>
    <row r="143" spans="1:4" ht="21">
      <c r="A143" s="149" t="s">
        <v>176</v>
      </c>
      <c r="B143" s="101" t="s">
        <v>183</v>
      </c>
      <c r="C143" s="59"/>
    </row>
    <row r="144" spans="1:4" ht="21">
      <c r="B144" s="143">
        <f>A26*74%</f>
        <v>22884.5</v>
      </c>
      <c r="C144" s="144" t="s">
        <v>22</v>
      </c>
    </row>
    <row r="145" spans="1:15" ht="21">
      <c r="B145" s="143">
        <f>B146-B144</f>
        <v>10329.5</v>
      </c>
      <c r="C145" s="144" t="s">
        <v>20</v>
      </c>
    </row>
    <row r="146" spans="1:15" ht="21">
      <c r="B146" s="143">
        <f>B148</f>
        <v>33214</v>
      </c>
      <c r="C146" s="150" t="s">
        <v>177</v>
      </c>
    </row>
    <row r="147" spans="1:15" ht="21">
      <c r="A147" s="142" t="s">
        <v>186</v>
      </c>
      <c r="B147" s="99" t="s">
        <v>185</v>
      </c>
      <c r="C147" s="43"/>
    </row>
    <row r="148" spans="1:15" ht="21">
      <c r="A148" s="147">
        <v>17153</v>
      </c>
      <c r="B148" s="113">
        <v>33214</v>
      </c>
      <c r="C148" s="43"/>
    </row>
    <row r="149" spans="1:15" ht="21">
      <c r="A149" s="146" t="s">
        <v>184</v>
      </c>
      <c r="B149" s="98" t="s">
        <v>187</v>
      </c>
      <c r="C149" s="43"/>
      <c r="D149" s="145"/>
    </row>
    <row r="150" spans="1:15" s="1" customFormat="1" ht="43.5" customHeight="1">
      <c r="A150" s="148" t="s">
        <v>179</v>
      </c>
      <c r="B150" s="108"/>
      <c r="C150" s="108"/>
      <c r="D150" s="112"/>
      <c r="E150"/>
      <c r="F150"/>
      <c r="G150"/>
      <c r="H150"/>
      <c r="I150"/>
      <c r="J150"/>
      <c r="K150"/>
      <c r="L150"/>
      <c r="M150"/>
      <c r="N150"/>
      <c r="O150"/>
    </row>
    <row r="151" spans="1:15" s="1" customFormat="1" ht="21">
      <c r="A151" s="100" t="s">
        <v>153</v>
      </c>
      <c r="B151" s="109"/>
      <c r="C151" s="110"/>
      <c r="D151" s="112"/>
      <c r="E151"/>
      <c r="F151"/>
      <c r="G151"/>
      <c r="H151"/>
      <c r="I151"/>
      <c r="J151"/>
      <c r="K151"/>
      <c r="L151"/>
      <c r="M151"/>
      <c r="N151"/>
      <c r="O151"/>
    </row>
    <row r="152" spans="1:15" s="1" customFormat="1" ht="21">
      <c r="A152" s="111" t="s">
        <v>151</v>
      </c>
      <c r="B152" s="110"/>
      <c r="C152" s="110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s="1" customFormat="1" ht="21">
      <c r="A153" s="111"/>
      <c r="B153" s="110"/>
      <c r="C153" s="110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s="1" customFormat="1" ht="21">
      <c r="A154" s="105" t="s">
        <v>178</v>
      </c>
      <c r="B154" s="105"/>
      <c r="C154" s="107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s="1" customFormat="1" ht="60.75">
      <c r="A155" s="102" t="s">
        <v>152</v>
      </c>
      <c r="B155" s="106">
        <v>72007</v>
      </c>
      <c r="C155" s="107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s="1" customFormat="1" ht="21">
      <c r="A156" s="103"/>
      <c r="B156" s="104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s="1" customFormat="1" ht="23.25">
      <c r="A157" s="153" t="s">
        <v>188</v>
      </c>
      <c r="B157" s="63"/>
      <c r="C157" s="63"/>
      <c r="D157" s="154" t="s">
        <v>189</v>
      </c>
      <c r="E157" s="63"/>
      <c r="F157" s="63"/>
      <c r="G157"/>
      <c r="H157"/>
      <c r="I157"/>
      <c r="J157"/>
      <c r="K157"/>
      <c r="L157"/>
      <c r="M157"/>
      <c r="N157"/>
      <c r="O157"/>
    </row>
    <row r="158" spans="1:15" s="1" customFormat="1">
      <c r="A158" s="59">
        <f>25*16*38</f>
        <v>15200</v>
      </c>
      <c r="B158" s="63" t="s">
        <v>190</v>
      </c>
      <c r="C158" s="63">
        <v>16</v>
      </c>
      <c r="D158" s="76">
        <f>38*16*70.25-A158</f>
        <v>27512</v>
      </c>
      <c r="E158" s="63"/>
      <c r="F158" s="59">
        <f>38*16*70.25</f>
        <v>42712</v>
      </c>
      <c r="G158"/>
      <c r="H158"/>
      <c r="I158"/>
      <c r="J158"/>
      <c r="K158"/>
      <c r="L158"/>
      <c r="M158"/>
      <c r="N158"/>
      <c r="O158"/>
    </row>
    <row r="159" spans="1:15" s="1" customFormat="1">
      <c r="A159" s="59">
        <f>10*2*38</f>
        <v>760</v>
      </c>
      <c r="B159" s="63" t="s">
        <v>191</v>
      </c>
      <c r="C159" s="63">
        <v>2</v>
      </c>
      <c r="D159" s="76" t="s">
        <v>192</v>
      </c>
      <c r="E159" s="63"/>
      <c r="F159" s="59">
        <f>38*2*70.25</f>
        <v>5339</v>
      </c>
      <c r="G159"/>
      <c r="H159"/>
      <c r="I159"/>
      <c r="J159"/>
      <c r="K159"/>
      <c r="L159"/>
      <c r="M159"/>
      <c r="N159"/>
      <c r="O159"/>
    </row>
    <row r="160" spans="1:15" s="1" customFormat="1">
      <c r="A160" s="59">
        <f>15*38</f>
        <v>570</v>
      </c>
      <c r="B160" s="63" t="s">
        <v>193</v>
      </c>
      <c r="C160" s="63">
        <v>1</v>
      </c>
      <c r="D160" s="76" t="s">
        <v>192</v>
      </c>
      <c r="E160" s="63"/>
      <c r="F160" s="59">
        <f>38*1*70.25</f>
        <v>2669.5</v>
      </c>
      <c r="G160"/>
      <c r="H160"/>
      <c r="I160"/>
      <c r="J160"/>
      <c r="K160"/>
      <c r="L160"/>
      <c r="M160"/>
      <c r="N160"/>
      <c r="O160"/>
    </row>
    <row r="161" spans="1:15" s="1" customFormat="1">
      <c r="A161" s="59">
        <f>20*19</f>
        <v>380</v>
      </c>
      <c r="B161" s="63" t="s">
        <v>194</v>
      </c>
      <c r="C161" s="63">
        <v>1</v>
      </c>
      <c r="D161" s="76" t="s">
        <v>192</v>
      </c>
      <c r="E161" s="63"/>
      <c r="F161" s="59">
        <f>19*1*70.25</f>
        <v>1334.75</v>
      </c>
      <c r="G161"/>
      <c r="H161"/>
      <c r="I161"/>
      <c r="J161"/>
      <c r="K161"/>
      <c r="L161"/>
      <c r="M161"/>
      <c r="N161"/>
      <c r="O161"/>
    </row>
    <row r="162" spans="1:15" s="1" customFormat="1">
      <c r="A162" s="59">
        <f>10*19*2</f>
        <v>380</v>
      </c>
      <c r="B162" s="63" t="s">
        <v>195</v>
      </c>
      <c r="C162" s="63">
        <v>2</v>
      </c>
      <c r="D162" s="76" t="s">
        <v>192</v>
      </c>
      <c r="E162" s="63"/>
      <c r="F162" s="59">
        <f>19*2*70.25</f>
        <v>2669.5</v>
      </c>
      <c r="G162"/>
      <c r="H162"/>
      <c r="I162"/>
      <c r="J162"/>
      <c r="K162"/>
      <c r="L162"/>
      <c r="M162"/>
      <c r="N162"/>
      <c r="O162"/>
    </row>
    <row r="163" spans="1:15" s="1" customFormat="1">
      <c r="A163" s="59">
        <f>25*19*4</f>
        <v>1900</v>
      </c>
      <c r="B163" s="63" t="s">
        <v>196</v>
      </c>
      <c r="C163" s="63">
        <v>4</v>
      </c>
      <c r="D163" s="76">
        <f>70.25*4*19-A163</f>
        <v>3439</v>
      </c>
      <c r="E163" s="63"/>
      <c r="F163" s="59">
        <f>19*4*70.25</f>
        <v>5339</v>
      </c>
      <c r="G163"/>
      <c r="H163"/>
      <c r="I163"/>
      <c r="J163"/>
      <c r="K163"/>
      <c r="L163"/>
      <c r="M163"/>
      <c r="N163"/>
      <c r="O163"/>
    </row>
    <row r="164" spans="1:15" s="1" customFormat="1">
      <c r="A164" s="59">
        <f>25*26</f>
        <v>650</v>
      </c>
      <c r="B164" s="63" t="s">
        <v>197</v>
      </c>
      <c r="C164" s="63">
        <v>1</v>
      </c>
      <c r="D164" s="76">
        <f>70.25*1*26-A164</f>
        <v>1176.5</v>
      </c>
      <c r="E164" s="63"/>
      <c r="F164" s="59">
        <f>26*1*70.25</f>
        <v>1826.5</v>
      </c>
      <c r="G164"/>
      <c r="H164"/>
      <c r="I164"/>
      <c r="J164"/>
      <c r="K164"/>
      <c r="L164"/>
      <c r="M164"/>
      <c r="N164"/>
      <c r="O164"/>
    </row>
    <row r="165" spans="1:15" s="1" customFormat="1">
      <c r="A165" s="59">
        <f>25*12*2</f>
        <v>600</v>
      </c>
      <c r="B165" s="63" t="s">
        <v>198</v>
      </c>
      <c r="C165" s="63">
        <v>2</v>
      </c>
      <c r="D165" s="76">
        <f>70.25*2*12-A165</f>
        <v>1086</v>
      </c>
      <c r="E165" s="63"/>
      <c r="F165" s="59">
        <f>12*2*70.25</f>
        <v>1686</v>
      </c>
      <c r="G165"/>
      <c r="H165"/>
      <c r="I165"/>
      <c r="J165"/>
      <c r="K165"/>
      <c r="L165"/>
      <c r="M165"/>
      <c r="N165"/>
      <c r="O165"/>
    </row>
    <row r="166" spans="1:15" s="1" customFormat="1">
      <c r="A166" s="59"/>
      <c r="B166" s="63"/>
      <c r="C166" s="63"/>
      <c r="D166" s="63"/>
      <c r="E166" s="63"/>
      <c r="F166" s="63"/>
      <c r="G166"/>
      <c r="H166"/>
      <c r="I166"/>
      <c r="J166"/>
      <c r="K166"/>
      <c r="L166"/>
      <c r="M166"/>
      <c r="N166"/>
      <c r="O166"/>
    </row>
    <row r="167" spans="1:15" s="1" customFormat="1">
      <c r="A167" s="76">
        <f>SUM(A158:A166)</f>
        <v>20440</v>
      </c>
      <c r="B167" s="63"/>
      <c r="C167" s="63">
        <f>SUM(C158:C166)</f>
        <v>29</v>
      </c>
      <c r="D167" s="76">
        <f>SUM(D158:D166)</f>
        <v>33213.5</v>
      </c>
      <c r="E167" s="63"/>
      <c r="F167" s="76">
        <f>SUM(F158:F166)</f>
        <v>63576.25</v>
      </c>
      <c r="G167"/>
      <c r="H167"/>
      <c r="I167"/>
      <c r="J167"/>
      <c r="K167"/>
      <c r="L167"/>
      <c r="M167"/>
      <c r="N167"/>
      <c r="O167"/>
    </row>
    <row r="168" spans="1:15" s="1" customFormat="1">
      <c r="A168" s="63"/>
      <c r="B168" s="63"/>
      <c r="C168" s="63"/>
      <c r="D168" s="63"/>
      <c r="E168" s="63"/>
      <c r="F168" s="63"/>
      <c r="G168"/>
      <c r="H168"/>
      <c r="I168"/>
      <c r="J168"/>
      <c r="K168"/>
      <c r="L168"/>
      <c r="M168"/>
      <c r="N168"/>
      <c r="O168"/>
    </row>
    <row r="169" spans="1:15" s="1" customFormat="1">
      <c r="A169" s="63" t="s">
        <v>199</v>
      </c>
      <c r="B169" s="63"/>
      <c r="C169" s="63"/>
      <c r="D169" s="63"/>
      <c r="E169" s="63"/>
      <c r="F169" s="63"/>
      <c r="G169"/>
      <c r="H169"/>
      <c r="I169"/>
      <c r="J169"/>
      <c r="K169"/>
      <c r="L169"/>
      <c r="M169"/>
      <c r="N169"/>
      <c r="O169"/>
    </row>
    <row r="170" spans="1:15" s="1" customFormat="1">
      <c r="A170" s="59">
        <f>4*30*10</f>
        <v>1200</v>
      </c>
      <c r="B170" s="63"/>
      <c r="C170" s="63">
        <v>4</v>
      </c>
      <c r="D170" s="76" t="s">
        <v>192</v>
      </c>
      <c r="E170" s="63"/>
      <c r="F170" s="59">
        <f>30*4*70.25</f>
        <v>8430</v>
      </c>
      <c r="G170"/>
      <c r="H170"/>
      <c r="I170"/>
      <c r="J170"/>
      <c r="K170"/>
      <c r="L170"/>
      <c r="M170"/>
      <c r="N170"/>
      <c r="O170"/>
    </row>
    <row r="171" spans="1:15" s="1" customFormat="1">
      <c r="A171" s="63"/>
      <c r="B171" s="63"/>
      <c r="C171" s="63"/>
      <c r="D171" s="63"/>
      <c r="E171" s="63"/>
      <c r="F171" s="63"/>
      <c r="G171"/>
      <c r="H171"/>
      <c r="I171"/>
      <c r="J171"/>
      <c r="K171"/>
      <c r="L171"/>
      <c r="M171"/>
      <c r="N171"/>
      <c r="O171"/>
    </row>
    <row r="172" spans="1:15" s="1" customFormat="1">
      <c r="A172" s="63" t="s">
        <v>200</v>
      </c>
      <c r="B172" s="63"/>
      <c r="C172" s="63"/>
      <c r="D172" s="63" t="s">
        <v>201</v>
      </c>
      <c r="E172" s="63"/>
      <c r="F172" s="63"/>
      <c r="G172"/>
      <c r="H172"/>
      <c r="I172"/>
      <c r="J172"/>
      <c r="K172"/>
      <c r="L172"/>
      <c r="M172"/>
      <c r="N172"/>
      <c r="O172"/>
    </row>
    <row r="173" spans="1:15" s="1" customFormat="1">
      <c r="A173" s="76">
        <f>A170+A167</f>
        <v>21640</v>
      </c>
      <c r="B173" s="63"/>
      <c r="C173" s="63">
        <f>C167+C170</f>
        <v>33</v>
      </c>
      <c r="D173" s="76">
        <f>D167</f>
        <v>33213.5</v>
      </c>
      <c r="E173" s="63"/>
      <c r="F173" s="76">
        <f>F170+F167</f>
        <v>72006.25</v>
      </c>
      <c r="G173"/>
      <c r="H173"/>
      <c r="I173"/>
      <c r="J173"/>
      <c r="K173"/>
      <c r="L173"/>
      <c r="M173"/>
      <c r="N173"/>
      <c r="O173"/>
    </row>
    <row r="174" spans="1:15" s="1" customFormat="1">
      <c r="A174" s="63"/>
      <c r="B174" s="63"/>
      <c r="C174" s="63"/>
      <c r="D174" s="63"/>
      <c r="E174" s="63"/>
      <c r="F174" s="76">
        <f>F173-G173</f>
        <v>72006.25</v>
      </c>
      <c r="G174"/>
      <c r="H174"/>
      <c r="I174"/>
      <c r="J174"/>
      <c r="K174"/>
      <c r="L174"/>
      <c r="M174"/>
      <c r="N174"/>
      <c r="O174"/>
    </row>
    <row r="175" spans="1:15" s="1" customFormat="1">
      <c r="A175" s="63"/>
      <c r="B175" s="59"/>
      <c r="C175" s="59"/>
      <c r="D175" s="63"/>
      <c r="E175" s="63"/>
      <c r="F175" s="63"/>
      <c r="G175"/>
      <c r="H175"/>
      <c r="I175"/>
      <c r="J175"/>
      <c r="K175"/>
      <c r="L175"/>
      <c r="M175"/>
      <c r="N175"/>
      <c r="O175"/>
    </row>
    <row r="176" spans="1:15" s="1" customFormat="1">
      <c r="A176" s="63"/>
      <c r="B176" s="63"/>
      <c r="C176" s="59"/>
      <c r="D176" s="63"/>
      <c r="E176" s="63"/>
      <c r="F176" s="63"/>
      <c r="G176"/>
      <c r="H176"/>
      <c r="I176"/>
      <c r="J176"/>
      <c r="K176"/>
      <c r="L176"/>
      <c r="M176"/>
      <c r="N176"/>
      <c r="O176"/>
    </row>
    <row r="177" spans="1:15" s="1" customFormat="1">
      <c r="A177" s="10"/>
      <c r="B177" s="8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s="1" customFormat="1">
      <c r="A178" s="8"/>
      <c r="B178" s="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s="1" customFormat="1">
      <c r="A179" s="8"/>
      <c r="B179" s="8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s="1" customFormat="1">
      <c r="A180" s="8"/>
      <c r="B180" s="8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s="1" customFormat="1">
      <c r="A181" s="8"/>
      <c r="B181" s="8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s="1" customFormat="1">
      <c r="A182" s="8"/>
      <c r="B182" s="8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s="1" customFormat="1">
      <c r="A183" s="8"/>
      <c r="B183" s="8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s="8" customFormat="1">
      <c r="C184" s="1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s="8" customFormat="1">
      <c r="C185" s="1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s="8" customFormat="1">
      <c r="C186" s="1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s="8" customFormat="1">
      <c r="C187" s="1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s="8" customFormat="1">
      <c r="C188" s="1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s="8" customFormat="1">
      <c r="C189" s="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s="8" customFormat="1">
      <c r="C190" s="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s="8" customFormat="1">
      <c r="C191" s="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s="8" customFormat="1">
      <c r="C192" s="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s="8" customFormat="1">
      <c r="C193" s="1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s="8" customFormat="1">
      <c r="C194" s="1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s="8" customFormat="1">
      <c r="C195" s="1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s="8" customFormat="1">
      <c r="C196" s="1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s="8" customFormat="1">
      <c r="C197" s="1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s="8" customFormat="1">
      <c r="C198" s="1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s="8" customFormat="1">
      <c r="C199" s="1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>
      <c r="A200" s="8"/>
    </row>
    <row r="201" spans="1:15">
      <c r="A201" s="8"/>
    </row>
    <row r="202" spans="1:15">
      <c r="A202" s="8"/>
    </row>
    <row r="203" spans="1:15">
      <c r="A203" s="8"/>
    </row>
    <row r="204" spans="1:15">
      <c r="A204" s="8"/>
      <c r="C204"/>
      <c r="D204" s="1"/>
    </row>
    <row r="205" spans="1:15">
      <c r="A205" s="8"/>
      <c r="C205"/>
      <c r="D205" s="1"/>
    </row>
    <row r="206" spans="1:15">
      <c r="A206" s="8"/>
      <c r="B206" s="10"/>
      <c r="C206"/>
      <c r="D206" s="1"/>
    </row>
    <row r="207" spans="1:15">
      <c r="A207" s="8"/>
      <c r="B207" s="10"/>
      <c r="D207" s="1"/>
    </row>
    <row r="208" spans="1:15">
      <c r="A208" s="8"/>
      <c r="B208" s="10"/>
      <c r="D208" s="1"/>
    </row>
    <row r="209" spans="1:4">
      <c r="A209" s="8"/>
      <c r="B209" s="10"/>
      <c r="D209" s="1"/>
    </row>
    <row r="210" spans="1:4">
      <c r="A210" s="8"/>
      <c r="B210" s="10"/>
      <c r="D210" s="1"/>
    </row>
    <row r="211" spans="1:4">
      <c r="A211" s="8"/>
      <c r="B211" s="10"/>
      <c r="D211" s="1"/>
    </row>
    <row r="212" spans="1:4">
      <c r="A212" s="8"/>
      <c r="B212" s="10"/>
      <c r="D212" s="1"/>
    </row>
    <row r="213" spans="1:4">
      <c r="A213" s="8"/>
      <c r="B213" s="10"/>
      <c r="D213" s="1"/>
    </row>
    <row r="214" spans="1:4">
      <c r="A214" s="8"/>
      <c r="B214" s="10"/>
      <c r="D214" s="1"/>
    </row>
    <row r="215" spans="1:4">
      <c r="A215" s="8"/>
      <c r="B215" s="10"/>
      <c r="D215" s="1"/>
    </row>
    <row r="216" spans="1:4">
      <c r="A216" s="8"/>
      <c r="B216" s="10"/>
      <c r="D216" s="1"/>
    </row>
    <row r="217" spans="1:4">
      <c r="A217" s="8"/>
      <c r="B217" s="10"/>
      <c r="D217" s="1"/>
    </row>
    <row r="218" spans="1:4">
      <c r="A218" s="8"/>
      <c r="B218" s="10"/>
      <c r="D218" s="1"/>
    </row>
    <row r="219" spans="1:4">
      <c r="A219" s="8"/>
      <c r="B219" s="10"/>
      <c r="D219" s="1"/>
    </row>
    <row r="220" spans="1:4">
      <c r="A220" s="8"/>
      <c r="B220" s="10"/>
    </row>
    <row r="221" spans="1:4">
      <c r="A221" s="8"/>
      <c r="B221" s="10"/>
      <c r="D221" s="3"/>
    </row>
    <row r="222" spans="1:4">
      <c r="A222" s="8"/>
      <c r="B222" s="10"/>
    </row>
    <row r="223" spans="1:4">
      <c r="A223" s="8"/>
      <c r="B223" s="10"/>
      <c r="C223"/>
    </row>
    <row r="224" spans="1:4">
      <c r="A224" s="8"/>
      <c r="B224" s="10"/>
      <c r="C224" s="3"/>
    </row>
    <row r="225" spans="1:15">
      <c r="A225" s="8"/>
      <c r="B225" s="10"/>
      <c r="C225"/>
    </row>
    <row r="226" spans="1:15">
      <c r="A226" s="8"/>
      <c r="B226" s="10"/>
      <c r="C226"/>
    </row>
    <row r="227" spans="1:15">
      <c r="A227" s="8"/>
      <c r="B227" s="10"/>
      <c r="C227"/>
    </row>
    <row r="228" spans="1:15">
      <c r="A228" s="8"/>
      <c r="B228" s="10"/>
      <c r="C228"/>
    </row>
    <row r="229" spans="1:15">
      <c r="A229" s="8"/>
      <c r="B229" s="10"/>
      <c r="C229"/>
    </row>
    <row r="230" spans="1:15">
      <c r="A230" s="8"/>
      <c r="B230" s="10"/>
      <c r="C230"/>
    </row>
    <row r="231" spans="1:15">
      <c r="A231" s="8"/>
      <c r="B231" s="10"/>
    </row>
    <row r="232" spans="1:15" s="1" customFormat="1">
      <c r="A232" s="8"/>
      <c r="B232" s="10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s="1" customFormat="1">
      <c r="A233" s="8"/>
      <c r="B233" s="8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s="1" customFormat="1">
      <c r="A234" s="8"/>
      <c r="B234" s="8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s="1" customFormat="1">
      <c r="A235" s="8"/>
      <c r="B235" s="8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s="1" customFormat="1">
      <c r="A236" s="8"/>
      <c r="B236" s="8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s="1" customFormat="1">
      <c r="A237" s="8"/>
      <c r="B237" s="8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s="1" customFormat="1">
      <c r="A238" s="8"/>
      <c r="B238" s="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s="1" customFormat="1">
      <c r="A239" s="8"/>
      <c r="B239" s="8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s="1" customFormat="1">
      <c r="A240" s="8"/>
      <c r="B240" s="8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s="1" customFormat="1">
      <c r="A241" s="8"/>
      <c r="B241" s="8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s="1" customFormat="1">
      <c r="A242" s="8"/>
      <c r="B242" s="8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s="1" customFormat="1">
      <c r="A243" s="8"/>
      <c r="B243" s="8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s="1" customFormat="1">
      <c r="A244" s="8"/>
      <c r="B244" s="8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s="1" customFormat="1">
      <c r="A245" s="8"/>
      <c r="B245" s="8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s="1" customFormat="1">
      <c r="A246" s="8"/>
      <c r="B246" s="8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s="1" customFormat="1">
      <c r="A247" s="8"/>
      <c r="B247" s="8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s="8" customFormat="1">
      <c r="C248" s="1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s="8" customFormat="1">
      <c r="C249" s="1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s="8" customFormat="1">
      <c r="C250" s="1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s="8" customFormat="1">
      <c r="C251" s="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s="8" customFormat="1">
      <c r="A252" s="1"/>
      <c r="C252" s="1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s="8" customFormat="1">
      <c r="A253" s="1"/>
      <c r="C253" s="1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s="8" customFormat="1">
      <c r="A254" s="1"/>
      <c r="C254" s="1"/>
      <c r="D254"/>
      <c r="E254"/>
      <c r="F254"/>
      <c r="G254"/>
      <c r="H254"/>
      <c r="I254"/>
      <c r="J254"/>
      <c r="K254"/>
      <c r="L254"/>
      <c r="M254"/>
      <c r="N254"/>
      <c r="O254"/>
    </row>
  </sheetData>
  <printOptions gridLines="1"/>
  <pageMargins left="0.25" right="0.25" top="0.5" bottom="0.5" header="0.3" footer="0.3"/>
  <pageSetup scale="73" fitToHeight="0" orientation="portrait" r:id="rId1"/>
  <rowBreaks count="1" manualBreakCount="1"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workbookViewId="0">
      <selection activeCell="E11" sqref="E11"/>
    </sheetView>
  </sheetViews>
  <sheetFormatPr defaultRowHeight="15"/>
  <sheetData>
    <row r="1" spans="1:1">
      <c r="A1" s="29"/>
    </row>
    <row r="2" spans="1:1">
      <c r="A2" s="30"/>
    </row>
    <row r="5" spans="1:1">
      <c r="A5" s="29"/>
    </row>
    <row r="6" spans="1:1">
      <c r="A6" s="30"/>
    </row>
    <row r="9" spans="1:1">
      <c r="A9" s="29"/>
    </row>
    <row r="10" spans="1:1">
      <c r="A10" s="31"/>
    </row>
    <row r="13" spans="1:1">
      <c r="A13" s="29"/>
    </row>
    <row r="14" spans="1:1">
      <c r="A14" s="32"/>
    </row>
    <row r="15" spans="1:1">
      <c r="A15" s="29"/>
    </row>
    <row r="16" spans="1:1">
      <c r="A16" s="32"/>
    </row>
    <row r="17" spans="1:1">
      <c r="A17" s="29"/>
    </row>
    <row r="18" spans="1:1">
      <c r="A18" s="32"/>
    </row>
    <row r="19" spans="1:1">
      <c r="A19" s="29"/>
    </row>
    <row r="20" spans="1:1">
      <c r="A20" s="32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Draft for Proposal</vt:lpstr>
      <vt:lpstr>1st Revision 01172021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2021-01-17T18:10:41Z</cp:lastPrinted>
  <dcterms:created xsi:type="dcterms:W3CDTF">2017-12-12T19:27:16Z</dcterms:created>
  <dcterms:modified xsi:type="dcterms:W3CDTF">2021-02-01T17:45:46Z</dcterms:modified>
</cp:coreProperties>
</file>